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23840" windowHeight="15330" activeTab="0"/>
  </bookViews>
  <sheets>
    <sheet name="Sheet1" sheetId="1" r:id="rId1"/>
    <sheet name="Sheet2" sheetId="2" r:id="rId2"/>
    <sheet name="Sheet3" sheetId="3" r:id="rId3"/>
  </sheets>
  <definedNames>
    <definedName name="Cambridge_Max_Glide">'Sheet1'!$B$35</definedName>
    <definedName name="Cambridge_V1_Speed">'Sheet1'!$B$36</definedName>
    <definedName name="Cambridge_V2_Speed">'Sheet1'!$B$37</definedName>
    <definedName name="Dry_Weight_Now">'Sheet1'!$B$18</definedName>
    <definedName name="Glider">'Sheet1'!$B$19</definedName>
    <definedName name="ID">'Sheet1'!$B$20</definedName>
    <definedName name="Max_Water">'Sheet1'!$B$21</definedName>
    <definedName name="_xlnm.Print_Area" localSheetId="0">'Sheet1'!$A$1:$I$50</definedName>
    <definedName name="SeeYou_a">'Sheet1'!$B$48</definedName>
    <definedName name="SeeYou_b">'Sheet1'!$B$49</definedName>
    <definedName name="SeeYou_c">'Sheet1'!$B$50</definedName>
    <definedName name="Wing_Area">'Sheet1'!$B$22</definedName>
    <definedName name="WP_V1">'Sheet1'!$B$40</definedName>
    <definedName name="WP_V2">'Sheet1'!$B$42</definedName>
    <definedName name="WP_V3">'Sheet1'!$B$44</definedName>
    <definedName name="WP_W1">'Sheet1'!$B$41</definedName>
    <definedName name="WP_W2">'Sheet1'!$B$43</definedName>
    <definedName name="WP_W3">'Sheet1'!$B$45</definedName>
  </definedNames>
  <calcPr fullCalcOnLoad="1"/>
</workbook>
</file>

<file path=xl/sharedStrings.xml><?xml version="1.0" encoding="utf-8"?>
<sst xmlns="http://schemas.openxmlformats.org/spreadsheetml/2006/main" count="156" uniqueCount="81">
  <si>
    <t>m/s</t>
  </si>
  <si>
    <t>a</t>
  </si>
  <si>
    <t>b</t>
  </si>
  <si>
    <t>c</t>
  </si>
  <si>
    <t>km/hr</t>
  </si>
  <si>
    <t>hr/km</t>
  </si>
  <si>
    <t>Airspeed</t>
  </si>
  <si>
    <t>Sink</t>
  </si>
  <si>
    <t>(km/hr)</t>
  </si>
  <si>
    <t>(m/s)</t>
  </si>
  <si>
    <t>V1 (Airspeed #1)</t>
  </si>
  <si>
    <t>V2 (Airspeed #2)</t>
  </si>
  <si>
    <t>V3 (Airspeed #3)</t>
  </si>
  <si>
    <t>kg</t>
  </si>
  <si>
    <t>Sink rate at best glide speed</t>
  </si>
  <si>
    <t>Max Glide Ratio</t>
  </si>
  <si>
    <t>knots</t>
  </si>
  <si>
    <t>lbs</t>
  </si>
  <si>
    <t>by Paul Remde</t>
  </si>
  <si>
    <t>(knots)</t>
  </si>
  <si>
    <t>A, square root of the ratio of the weights</t>
  </si>
  <si>
    <t>Results</t>
  </si>
  <si>
    <t>Enter</t>
  </si>
  <si>
    <t>Weight, dry with pilot when polar data was measured</t>
  </si>
  <si>
    <t>New data points based on difference in glider weight from when polar was measured</t>
  </si>
  <si>
    <t>Enter the data for 3 points on the polar and the spreadsheet calculates the adjusted values</t>
  </si>
  <si>
    <t>compensated for difference in the weight now and when the polar was measured.</t>
  </si>
  <si>
    <t>It also calculates the values to enter into Glide Navigator II, Cambridge L-NAV or 302.</t>
  </si>
  <si>
    <t>Cambridge Data for use in Glide Navigator II and Cambridge L-NAV or 302</t>
  </si>
  <si>
    <t>W1 (Sink #1) (enter a negative number)</t>
  </si>
  <si>
    <t>W2 (Sink #2) (enter a negative number)</t>
  </si>
  <si>
    <t>W3 (Sink #3) (enter a negative number)</t>
  </si>
  <si>
    <t>SeeYou Polar Coefficients</t>
  </si>
  <si>
    <t>a' (polar shifted for weight difference)</t>
  </si>
  <si>
    <t>b' (polar shifted for weight difference)</t>
  </si>
  <si>
    <t>c' (polar shifted for weight difference)</t>
  </si>
  <si>
    <t>b' (SeeYou) (polar shifted for weight difference)</t>
  </si>
  <si>
    <t>c' (SeeYou) (polar shifted for weight difference)</t>
  </si>
  <si>
    <t>a' (SeeYou) (polar shifted for weight difference)</t>
  </si>
  <si>
    <t>Weight, dry with pilot, of your glider</t>
  </si>
  <si>
    <t>Polar Calculator - Reichmann to Cambridge and SeeYou</t>
  </si>
  <si>
    <t>Speed of minimum sink (not usually accurate)</t>
  </si>
  <si>
    <t>Minimum Sink Rate (not usually accurate)</t>
  </si>
  <si>
    <t>Glider</t>
  </si>
  <si>
    <t>ID</t>
  </si>
  <si>
    <t>Max water ballast</t>
  </si>
  <si>
    <t>liters</t>
  </si>
  <si>
    <t>gal</t>
  </si>
  <si>
    <t>Wing area</t>
  </si>
  <si>
    <t>m²</t>
  </si>
  <si>
    <t>ft²</t>
  </si>
  <si>
    <t>Data for Cambridge 300 Utility .plr file</t>
  </si>
  <si>
    <t>Data for WinPilot .plr file</t>
  </si>
  <si>
    <t>It also calculates polar coefficients for use in SeeYou and SeeYou Mobile.</t>
  </si>
  <si>
    <t>V1', Best Glide Speed</t>
  </si>
  <si>
    <t>V2', Speed at sink = -2 m/s = -3.885 knots</t>
  </si>
  <si>
    <t>V1' (Best glide speed)</t>
  </si>
  <si>
    <t>W1'</t>
  </si>
  <si>
    <t>V2'</t>
  </si>
  <si>
    <t>W2'</t>
  </si>
  <si>
    <t>V3'</t>
  </si>
  <si>
    <t>W3'</t>
  </si>
  <si>
    <t>GFR</t>
  </si>
  <si>
    <t>Libelle 201B</t>
  </si>
  <si>
    <t>MacCready</t>
  </si>
  <si>
    <t>Speed-To-Fly</t>
  </si>
  <si>
    <t>:1</t>
  </si>
  <si>
    <t>Line (knots)</t>
  </si>
  <si>
    <t>Line (metric)</t>
  </si>
  <si>
    <t>Headwind (negative number for tailwind)</t>
  </si>
  <si>
    <t>Slope of line</t>
  </si>
  <si>
    <t>Sink Rate at Speed-to-Fly</t>
  </si>
  <si>
    <t>Set MacCready Ring To (to account for headwind)</t>
  </si>
  <si>
    <t>Cross-Country Speed (Where line crosses zero)</t>
  </si>
  <si>
    <r>
      <t>Speed-To-Fly Given MacCready and Headwind</t>
    </r>
    <r>
      <rPr>
        <sz val="10"/>
        <rFont val="Arial"/>
        <family val="2"/>
      </rPr>
      <t xml:space="preserve"> (red lines on graphs)</t>
    </r>
  </si>
  <si>
    <t>Updated: February 4, 2017</t>
  </si>
  <si>
    <t>Glide Ratio Over Ground (taking wind into account)</t>
  </si>
  <si>
    <t>Glide Ratio Through Airmass (ignoring wind)</t>
  </si>
  <si>
    <t>Set the headwind to zero when flying a task for maximum speed.  You are moving with the airmass.</t>
  </si>
  <si>
    <t>The headwind or tailwind calculation is only of value when maximizing distance over the ground on final glide.</t>
  </si>
  <si>
    <t>Red Lines on Above Graphs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</si>
</sst>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166" fontId="2" fillId="34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36" borderId="24" xfId="0" applyFill="1" applyBorder="1" applyAlignment="1">
      <alignment/>
    </xf>
    <xf numFmtId="0" fontId="0" fillId="0" borderId="10" xfId="0" applyBorder="1" applyAlignment="1" quotePrefix="1">
      <alignment/>
    </xf>
    <xf numFmtId="166" fontId="0" fillId="0" borderId="0" xfId="0" applyNumberFormat="1" applyAlignment="1">
      <alignment/>
    </xf>
    <xf numFmtId="167" fontId="0" fillId="0" borderId="17" xfId="0" applyNumberFormat="1" applyBorder="1" applyAlignment="1">
      <alignment/>
    </xf>
    <xf numFmtId="0" fontId="0" fillId="0" borderId="22" xfId="0" applyFill="1" applyBorder="1" applyAlignment="1">
      <alignment/>
    </xf>
    <xf numFmtId="167" fontId="0" fillId="35" borderId="13" xfId="0" applyNumberFormat="1" applyFill="1" applyBorder="1" applyAlignment="1">
      <alignment/>
    </xf>
    <xf numFmtId="165" fontId="0" fillId="35" borderId="13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67" fontId="2" fillId="35" borderId="13" xfId="0" applyNumberFormat="1" applyFont="1" applyFill="1" applyBorder="1" applyAlignment="1">
      <alignment/>
    </xf>
    <xf numFmtId="167" fontId="2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-0.00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2175"/>
          <c:w val="0.95175"/>
          <c:h val="0.80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Sheet1!$AE$3:$AE$253</c:f>
              <c:numCache/>
            </c:numRef>
          </c:xVal>
          <c:yVal>
            <c:numRef>
              <c:f>Sheet1!$AF$3:$AF$253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Sheet1!$P$63:$P$64</c:f>
              <c:numCache/>
            </c:numRef>
          </c:xVal>
          <c:yVal>
            <c:numRef>
              <c:f>Sheet1!$R$63:$R$64</c:f>
              <c:numCache/>
            </c:numRef>
          </c:yVal>
          <c:smooth val="0"/>
        </c:ser>
        <c:axId val="27561226"/>
        <c:axId val="46724443"/>
      </c:scatterChart>
      <c:valAx>
        <c:axId val="2756122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(km/hr)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46724443"/>
        <c:crosses val="autoZero"/>
        <c:crossBetween val="midCat"/>
        <c:dispUnits/>
        <c:majorUnit val="10"/>
        <c:minorUnit val="2"/>
      </c:valAx>
      <c:valAx>
        <c:axId val="46724443"/>
        <c:scaling>
          <c:orientation val="minMax"/>
          <c:max val="2.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(m/s)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561226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2"/>
          <c:w val="0.943"/>
          <c:h val="0.807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Sheet1!$AG$3:$AG$253</c:f>
              <c:numCache/>
            </c:numRef>
          </c:xVal>
          <c:yVal>
            <c:numRef>
              <c:f>Sheet1!$AH$3:$AH$253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Sheet1!$AG$3:$AG$253</c:f>
              <c:numCache/>
            </c:numRef>
          </c:xVal>
          <c:yVal>
            <c:numRef>
              <c:f>Sheet1!$AH$3:$AH$253</c:f>
              <c:numCache/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Sheet1!$K$63:$K$64</c:f>
              <c:numCache/>
            </c:numRef>
          </c:xVal>
          <c:yVal>
            <c:numRef>
              <c:f>Sheet1!$M$63:$M$64</c:f>
              <c:numCache/>
            </c:numRef>
          </c:yVal>
          <c:smooth val="0"/>
        </c:ser>
        <c:axId val="17866804"/>
        <c:axId val="26583509"/>
      </c:scatterChart>
      <c:valAx>
        <c:axId val="17866804"/>
        <c:scaling>
          <c:orientation val="minMax"/>
          <c:max val="1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(knots)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26583509"/>
        <c:crosses val="autoZero"/>
        <c:crossBetween val="midCat"/>
        <c:dispUnits/>
        <c:majorUnit val="5"/>
        <c:minorUnit val="1"/>
      </c:valAx>
      <c:valAx>
        <c:axId val="26583509"/>
        <c:scaling>
          <c:orientation val="minMax"/>
          <c:max val="5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(knots)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17866804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28</xdr:col>
      <xdr:colOff>361950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6029325" y="0"/>
        <a:ext cx="74104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29</xdr:row>
      <xdr:rowOff>0</xdr:rowOff>
    </xdr:from>
    <xdr:to>
      <xdr:col>29</xdr:col>
      <xdr:colOff>0</xdr:colOff>
      <xdr:row>58</xdr:row>
      <xdr:rowOff>47625</xdr:rowOff>
    </xdr:to>
    <xdr:graphicFrame>
      <xdr:nvGraphicFramePr>
        <xdr:cNvPr id="2" name="Chart 6"/>
        <xdr:cNvGraphicFramePr/>
      </xdr:nvGraphicFramePr>
      <xdr:xfrm>
        <a:off x="6029325" y="4591050"/>
        <a:ext cx="74199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3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46.28125" style="0" customWidth="1"/>
    <col min="2" max="2" width="10.00390625" style="0" bestFit="1" customWidth="1"/>
    <col min="3" max="3" width="5.7109375" style="0" bestFit="1" customWidth="1"/>
    <col min="4" max="4" width="1.1484375" style="0" customWidth="1"/>
    <col min="5" max="5" width="5.8515625" style="0" customWidth="1"/>
    <col min="6" max="6" width="5.421875" style="0" customWidth="1"/>
    <col min="7" max="7" width="1.1484375" style="0" customWidth="1"/>
    <col min="9" max="9" width="5.57421875" style="0" bestFit="1" customWidth="1"/>
    <col min="10" max="30" width="5.57421875" style="0" customWidth="1"/>
    <col min="31" max="31" width="8.28125" style="3" bestFit="1" customWidth="1"/>
    <col min="32" max="32" width="12.57421875" style="3" bestFit="1" customWidth="1"/>
    <col min="33" max="34" width="9.140625" style="3" customWidth="1"/>
  </cols>
  <sheetData>
    <row r="1" spans="1:34" ht="12.75">
      <c r="A1" s="1" t="s">
        <v>40</v>
      </c>
      <c r="AE1" s="3" t="s">
        <v>6</v>
      </c>
      <c r="AF1" s="3" t="s">
        <v>7</v>
      </c>
      <c r="AG1" s="3" t="s">
        <v>6</v>
      </c>
      <c r="AH1" s="3" t="s">
        <v>7</v>
      </c>
    </row>
    <row r="2" spans="1:34" ht="12.75">
      <c r="A2" s="1" t="s">
        <v>18</v>
      </c>
      <c r="AE2" s="3" t="s">
        <v>8</v>
      </c>
      <c r="AF2" s="3" t="s">
        <v>9</v>
      </c>
      <c r="AG2" s="3" t="s">
        <v>19</v>
      </c>
      <c r="AH2" s="3" t="s">
        <v>19</v>
      </c>
    </row>
    <row r="3" spans="1:34" ht="12">
      <c r="A3" s="2" t="s">
        <v>75</v>
      </c>
      <c r="AE3" s="3">
        <v>0</v>
      </c>
      <c r="AF3" s="3">
        <f aca="true" t="shared" si="0" ref="AF3:AF66">($B$28*AE3^2+$B$29*AE3+$B$30)/3.6</f>
        <v>-1.4332783472847286</v>
      </c>
      <c r="AG3" s="3">
        <f>AE3/1.8532</f>
        <v>0</v>
      </c>
      <c r="AH3" s="3">
        <f>AF3/1.8532*3600/1000</f>
        <v>-2.7842661613560455</v>
      </c>
    </row>
    <row r="4" spans="31:34" ht="12">
      <c r="AE4" s="3">
        <v>1</v>
      </c>
      <c r="AF4" s="3">
        <f t="shared" si="0"/>
        <v>-1.409710403813158</v>
      </c>
      <c r="AG4" s="3">
        <f aca="true" t="shared" si="1" ref="AG4:AG67">AE4/1.8532</f>
        <v>0.5396071659831643</v>
      </c>
      <c r="AH4" s="3">
        <f aca="true" t="shared" si="2" ref="AH4:AH67">AF4/1.8532*3600/1000</f>
        <v>-2.738483409090961</v>
      </c>
    </row>
    <row r="5" spans="1:34" ht="12">
      <c r="A5" s="13" t="s">
        <v>25</v>
      </c>
      <c r="B5" s="14"/>
      <c r="C5" s="14"/>
      <c r="D5" s="14"/>
      <c r="E5" s="14"/>
      <c r="F5" s="14"/>
      <c r="G5" s="14"/>
      <c r="H5" s="14"/>
      <c r="I5" s="15"/>
      <c r="AE5" s="3">
        <v>2</v>
      </c>
      <c r="AF5" s="3">
        <f t="shared" si="0"/>
        <v>-1.386495298006849</v>
      </c>
      <c r="AG5" s="3">
        <f t="shared" si="1"/>
        <v>1.0792143319663285</v>
      </c>
      <c r="AH5" s="3">
        <f t="shared" si="2"/>
        <v>-2.693386074263251</v>
      </c>
    </row>
    <row r="6" spans="1:34" ht="12">
      <c r="A6" s="21" t="s">
        <v>26</v>
      </c>
      <c r="B6" s="22"/>
      <c r="C6" s="22"/>
      <c r="D6" s="22"/>
      <c r="E6" s="22"/>
      <c r="F6" s="22"/>
      <c r="G6" s="22"/>
      <c r="H6" s="22"/>
      <c r="I6" s="27"/>
      <c r="AE6" s="3">
        <v>3</v>
      </c>
      <c r="AF6" s="3">
        <f t="shared" si="0"/>
        <v>-1.3636330298658013</v>
      </c>
      <c r="AG6" s="3">
        <f t="shared" si="1"/>
        <v>1.6188214979494928</v>
      </c>
      <c r="AH6" s="3">
        <f t="shared" si="2"/>
        <v>-2.648974156872914</v>
      </c>
    </row>
    <row r="7" spans="1:34" ht="12">
      <c r="A7" s="30" t="s">
        <v>27</v>
      </c>
      <c r="B7" s="22"/>
      <c r="C7" s="22"/>
      <c r="D7" s="22"/>
      <c r="E7" s="22"/>
      <c r="F7" s="22"/>
      <c r="G7" s="22"/>
      <c r="H7" s="22"/>
      <c r="I7" s="27"/>
      <c r="AE7" s="3">
        <v>4</v>
      </c>
      <c r="AF7" s="3">
        <f t="shared" si="0"/>
        <v>-1.3411235993900152</v>
      </c>
      <c r="AG7" s="3">
        <f t="shared" si="1"/>
        <v>2.158428663932657</v>
      </c>
      <c r="AH7" s="3">
        <f t="shared" si="2"/>
        <v>-2.605247656919952</v>
      </c>
    </row>
    <row r="8" spans="1:34" ht="12">
      <c r="A8" s="37" t="s">
        <v>53</v>
      </c>
      <c r="B8" s="17"/>
      <c r="C8" s="17"/>
      <c r="D8" s="17"/>
      <c r="E8" s="17"/>
      <c r="F8" s="17"/>
      <c r="G8" s="17"/>
      <c r="H8" s="17"/>
      <c r="I8" s="18"/>
      <c r="AE8" s="3">
        <v>5</v>
      </c>
      <c r="AF8" s="3">
        <f t="shared" si="0"/>
        <v>-1.3189670065794907</v>
      </c>
      <c r="AG8" s="3">
        <f t="shared" si="1"/>
        <v>2.6980358299158214</v>
      </c>
      <c r="AH8" s="3">
        <f t="shared" si="2"/>
        <v>-2.562206574404364</v>
      </c>
    </row>
    <row r="9" spans="31:34" ht="12">
      <c r="AE9" s="3">
        <v>6</v>
      </c>
      <c r="AF9" s="3">
        <f t="shared" si="0"/>
        <v>-1.2971632514342277</v>
      </c>
      <c r="AG9" s="3">
        <f t="shared" si="1"/>
        <v>3.2376429958989856</v>
      </c>
      <c r="AH9" s="3">
        <f t="shared" si="2"/>
        <v>-2.519850909326149</v>
      </c>
    </row>
    <row r="10" spans="1:34" ht="12.75">
      <c r="A10" s="7" t="s">
        <v>22</v>
      </c>
      <c r="B10" s="8"/>
      <c r="C10" s="8"/>
      <c r="D10" s="8"/>
      <c r="E10" s="8"/>
      <c r="F10" s="8"/>
      <c r="G10" s="8"/>
      <c r="H10" s="8"/>
      <c r="I10" s="9"/>
      <c r="AE10" s="3">
        <v>7</v>
      </c>
      <c r="AF10" s="3">
        <f t="shared" si="0"/>
        <v>-1.2757123339542262</v>
      </c>
      <c r="AG10" s="3">
        <f t="shared" si="1"/>
        <v>3.77725016188215</v>
      </c>
      <c r="AH10" s="3">
        <f t="shared" si="2"/>
        <v>-2.4781806616853093</v>
      </c>
    </row>
    <row r="11" spans="1:34" ht="12.75">
      <c r="A11" s="4" t="s">
        <v>10</v>
      </c>
      <c r="B11" s="10">
        <v>97</v>
      </c>
      <c r="C11" s="4" t="s">
        <v>4</v>
      </c>
      <c r="H11" s="5">
        <f>B11/1.8532</f>
        <v>52.34189510036693</v>
      </c>
      <c r="I11" s="4" t="s">
        <v>16</v>
      </c>
      <c r="AE11" s="3">
        <v>8</v>
      </c>
      <c r="AF11" s="3">
        <f t="shared" si="0"/>
        <v>-1.2546142541394862</v>
      </c>
      <c r="AG11" s="3">
        <f t="shared" si="1"/>
        <v>4.316857327865314</v>
      </c>
      <c r="AH11" s="3">
        <f t="shared" si="2"/>
        <v>-2.4371958314818425</v>
      </c>
    </row>
    <row r="12" spans="1:34" ht="12.75">
      <c r="A12" s="4" t="s">
        <v>29</v>
      </c>
      <c r="B12" s="10">
        <v>-0.79</v>
      </c>
      <c r="C12" s="4" t="s">
        <v>0</v>
      </c>
      <c r="E12" s="11">
        <f>B12*3.6</f>
        <v>-2.8440000000000003</v>
      </c>
      <c r="F12" s="4" t="s">
        <v>4</v>
      </c>
      <c r="H12" s="6">
        <f>B12/1.8532*3600/1000</f>
        <v>-1.5346427800561193</v>
      </c>
      <c r="I12" s="4" t="s">
        <v>16</v>
      </c>
      <c r="AE12" s="3">
        <v>9</v>
      </c>
      <c r="AF12" s="3">
        <f t="shared" si="0"/>
        <v>-1.2338690119900078</v>
      </c>
      <c r="AG12" s="3">
        <f t="shared" si="1"/>
        <v>4.8564644938484784</v>
      </c>
      <c r="AH12" s="3">
        <f t="shared" si="2"/>
        <v>-2.39689641871575</v>
      </c>
    </row>
    <row r="13" spans="1:34" ht="12.75">
      <c r="A13" s="4" t="s">
        <v>11</v>
      </c>
      <c r="B13" s="10">
        <v>152.43</v>
      </c>
      <c r="C13" s="4" t="s">
        <v>4</v>
      </c>
      <c r="H13" s="5">
        <f>B13/1.8532</f>
        <v>82.25232031081373</v>
      </c>
      <c r="I13" s="4" t="s">
        <v>16</v>
      </c>
      <c r="AE13" s="3">
        <v>10</v>
      </c>
      <c r="AF13" s="3">
        <f t="shared" si="0"/>
        <v>-1.2134766075057908</v>
      </c>
      <c r="AG13" s="3">
        <f t="shared" si="1"/>
        <v>5.396071659831643</v>
      </c>
      <c r="AH13" s="3">
        <f t="shared" si="2"/>
        <v>-2.3572824233870313</v>
      </c>
    </row>
    <row r="14" spans="1:34" ht="12.75">
      <c r="A14" s="4" t="s">
        <v>30</v>
      </c>
      <c r="B14" s="10">
        <v>-1.913</v>
      </c>
      <c r="C14" s="4" t="s">
        <v>0</v>
      </c>
      <c r="E14" s="11">
        <f>B14*3.6</f>
        <v>-6.8868</v>
      </c>
      <c r="F14" s="4" t="s">
        <v>4</v>
      </c>
      <c r="H14" s="6">
        <f>B14/1.8532*3600/1000</f>
        <v>-3.7161666306928556</v>
      </c>
      <c r="I14" s="4" t="s">
        <v>16</v>
      </c>
      <c r="AE14" s="3">
        <v>11</v>
      </c>
      <c r="AF14" s="3">
        <f t="shared" si="0"/>
        <v>-1.1934370406868355</v>
      </c>
      <c r="AG14" s="3">
        <f t="shared" si="1"/>
        <v>5.935678825814807</v>
      </c>
      <c r="AH14" s="3">
        <f t="shared" si="2"/>
        <v>-2.3183538454956873</v>
      </c>
    </row>
    <row r="15" spans="1:34" ht="12.75">
      <c r="A15" s="4" t="s">
        <v>12</v>
      </c>
      <c r="B15" s="10">
        <v>190.54</v>
      </c>
      <c r="C15" s="4" t="s">
        <v>4</v>
      </c>
      <c r="H15" s="5">
        <f>B15/1.8532</f>
        <v>102.81674940643211</v>
      </c>
      <c r="I15" s="4" t="s">
        <v>16</v>
      </c>
      <c r="AE15" s="3">
        <v>12</v>
      </c>
      <c r="AF15" s="3">
        <f t="shared" si="0"/>
        <v>-1.1737503115331416</v>
      </c>
      <c r="AG15" s="3">
        <f t="shared" si="1"/>
        <v>6.475285991797971</v>
      </c>
      <c r="AH15" s="3">
        <f t="shared" si="2"/>
        <v>-2.2801106850417168</v>
      </c>
    </row>
    <row r="16" spans="1:34" ht="12.75">
      <c r="A16" s="4" t="s">
        <v>31</v>
      </c>
      <c r="B16" s="10">
        <v>-3.314</v>
      </c>
      <c r="C16" s="4" t="s">
        <v>0</v>
      </c>
      <c r="E16" s="11">
        <f>B16*3.6</f>
        <v>-11.9304</v>
      </c>
      <c r="F16" s="4" t="s">
        <v>4</v>
      </c>
      <c r="H16" s="6">
        <f>B16/1.8532*3600/1000</f>
        <v>-6.437729333045543</v>
      </c>
      <c r="I16" s="4" t="s">
        <v>16</v>
      </c>
      <c r="AE16" s="3">
        <v>13</v>
      </c>
      <c r="AF16" s="3">
        <f t="shared" si="0"/>
        <v>-1.154416420044709</v>
      </c>
      <c r="AG16" s="3">
        <f t="shared" si="1"/>
        <v>7.0148931577811355</v>
      </c>
      <c r="AH16" s="3">
        <f t="shared" si="2"/>
        <v>-2.24255294202512</v>
      </c>
    </row>
    <row r="17" spans="1:34" ht="12.75">
      <c r="A17" s="32" t="s">
        <v>23</v>
      </c>
      <c r="B17" s="10">
        <v>377</v>
      </c>
      <c r="C17" s="4" t="s">
        <v>13</v>
      </c>
      <c r="H17" s="28">
        <f>B17*2.205</f>
        <v>831.2850000000001</v>
      </c>
      <c r="I17" s="4" t="s">
        <v>17</v>
      </c>
      <c r="AE17" s="3">
        <v>14</v>
      </c>
      <c r="AF17" s="3">
        <f t="shared" si="0"/>
        <v>-1.1354353662215382</v>
      </c>
      <c r="AG17" s="3">
        <f t="shared" si="1"/>
        <v>7.5545003237643</v>
      </c>
      <c r="AH17" s="3">
        <f t="shared" si="2"/>
        <v>-2.2056806164458975</v>
      </c>
    </row>
    <row r="18" spans="1:34" ht="12.75">
      <c r="A18" s="32" t="s">
        <v>39</v>
      </c>
      <c r="B18" s="10">
        <v>377</v>
      </c>
      <c r="C18" s="4" t="s">
        <v>13</v>
      </c>
      <c r="D18" s="16"/>
      <c r="E18" s="17"/>
      <c r="F18" s="17"/>
      <c r="G18" s="18"/>
      <c r="H18" s="28">
        <f>B18*2.205</f>
        <v>831.2850000000001</v>
      </c>
      <c r="I18" s="4" t="s">
        <v>17</v>
      </c>
      <c r="AE18" s="3">
        <v>15</v>
      </c>
      <c r="AF18" s="3">
        <f t="shared" si="0"/>
        <v>-1.1168071500636287</v>
      </c>
      <c r="AG18" s="3">
        <f t="shared" si="1"/>
        <v>8.094107489747463</v>
      </c>
      <c r="AH18" s="3">
        <f t="shared" si="2"/>
        <v>-2.1694937083040484</v>
      </c>
    </row>
    <row r="19" spans="1:34" ht="12.75">
      <c r="A19" s="4" t="s">
        <v>43</v>
      </c>
      <c r="B19" s="41" t="s">
        <v>63</v>
      </c>
      <c r="AE19" s="3">
        <v>16</v>
      </c>
      <c r="AF19" s="3">
        <f t="shared" si="0"/>
        <v>-1.098531771570981</v>
      </c>
      <c r="AG19" s="3">
        <f t="shared" si="1"/>
        <v>8.633714655730628</v>
      </c>
      <c r="AH19" s="3">
        <f t="shared" si="2"/>
        <v>-2.1339922175995745</v>
      </c>
    </row>
    <row r="20" spans="1:34" ht="12.75">
      <c r="A20" s="4" t="s">
        <v>44</v>
      </c>
      <c r="B20" s="41" t="s">
        <v>62</v>
      </c>
      <c r="AE20" s="3">
        <v>17</v>
      </c>
      <c r="AF20" s="3">
        <f t="shared" si="0"/>
        <v>-1.0806092307435946</v>
      </c>
      <c r="AG20" s="3">
        <f t="shared" si="1"/>
        <v>9.173321821713792</v>
      </c>
      <c r="AH20" s="3">
        <f t="shared" si="2"/>
        <v>-2.099176144332474</v>
      </c>
    </row>
    <row r="21" spans="1:34" ht="12.75">
      <c r="A21" s="4" t="s">
        <v>45</v>
      </c>
      <c r="B21" s="10">
        <v>0</v>
      </c>
      <c r="C21" s="32" t="s">
        <v>46</v>
      </c>
      <c r="E21" s="11">
        <f>B21*0.264172052</f>
        <v>0</v>
      </c>
      <c r="F21" s="4" t="s">
        <v>47</v>
      </c>
      <c r="H21" s="28">
        <f>ROUND(E21*8.33,2)</f>
        <v>0</v>
      </c>
      <c r="I21" s="4" t="s">
        <v>17</v>
      </c>
      <c r="AE21" s="3">
        <v>18</v>
      </c>
      <c r="AF21" s="3">
        <f t="shared" si="0"/>
        <v>-1.0630395275814697</v>
      </c>
      <c r="AG21" s="3">
        <f t="shared" si="1"/>
        <v>9.712928987696957</v>
      </c>
      <c r="AH21" s="3">
        <f t="shared" si="2"/>
        <v>-2.065045488502747</v>
      </c>
    </row>
    <row r="22" spans="1:34" ht="12.75">
      <c r="A22" s="4" t="s">
        <v>48</v>
      </c>
      <c r="B22" s="10">
        <v>11.39</v>
      </c>
      <c r="C22" s="4" t="s">
        <v>49</v>
      </c>
      <c r="H22" s="42">
        <f>ROUND(B22*10.7639104,2)</f>
        <v>122.6</v>
      </c>
      <c r="I22" s="4" t="s">
        <v>50</v>
      </c>
      <c r="AE22" s="3">
        <v>19</v>
      </c>
      <c r="AF22" s="3">
        <f t="shared" si="0"/>
        <v>-1.0458226620846065</v>
      </c>
      <c r="AG22" s="3">
        <f t="shared" si="1"/>
        <v>10.25253615368012</v>
      </c>
      <c r="AH22" s="3">
        <f t="shared" si="2"/>
        <v>-2.0316002501103947</v>
      </c>
    </row>
    <row r="23" spans="1:34" ht="12.75">
      <c r="A23" s="23" t="s">
        <v>21</v>
      </c>
      <c r="B23" s="24"/>
      <c r="C23" s="24"/>
      <c r="D23" s="24"/>
      <c r="E23" s="24"/>
      <c r="F23" s="24"/>
      <c r="G23" s="24"/>
      <c r="H23" s="24"/>
      <c r="I23" s="25"/>
      <c r="AE23" s="3">
        <v>20</v>
      </c>
      <c r="AF23" s="3">
        <f t="shared" si="0"/>
        <v>-1.0289586342530048</v>
      </c>
      <c r="AG23" s="3">
        <f t="shared" si="1"/>
        <v>10.792143319663285</v>
      </c>
      <c r="AH23" s="3">
        <f t="shared" si="2"/>
        <v>-1.998840429155416</v>
      </c>
    </row>
    <row r="24" spans="1:34" ht="12">
      <c r="A24" s="4" t="s">
        <v>20</v>
      </c>
      <c r="B24" s="4">
        <f>SQRT(B18/B17)</f>
        <v>1</v>
      </c>
      <c r="C24" s="4"/>
      <c r="H24" s="4"/>
      <c r="I24" s="4"/>
      <c r="AE24" s="3">
        <v>21</v>
      </c>
      <c r="AF24" s="3">
        <f t="shared" si="0"/>
        <v>-1.0124474440866644</v>
      </c>
      <c r="AG24" s="3">
        <f t="shared" si="1"/>
        <v>11.331750485646449</v>
      </c>
      <c r="AH24" s="3">
        <f t="shared" si="2"/>
        <v>-1.9667660256378112</v>
      </c>
    </row>
    <row r="25" spans="1:34" ht="12">
      <c r="A25" s="4" t="s">
        <v>1</v>
      </c>
      <c r="B25" s="4">
        <f>((B13-B15)*(E12-E16)+(B15-B11)*(E14-E16))/(B11^2*(B13-B15)+B13^2*(B15-B11)+B15^2*(B11-B13))</f>
        <v>-0.0006351077974707297</v>
      </c>
      <c r="C25" s="4" t="s">
        <v>5</v>
      </c>
      <c r="H25" s="4"/>
      <c r="I25" s="4"/>
      <c r="AE25" s="3">
        <v>22</v>
      </c>
      <c r="AF25" s="3">
        <f t="shared" si="0"/>
        <v>-0.9962890915855858</v>
      </c>
      <c r="AG25" s="3">
        <f t="shared" si="1"/>
        <v>11.871357651629614</v>
      </c>
      <c r="AH25" s="3">
        <f t="shared" si="2"/>
        <v>-1.9353770395575807</v>
      </c>
    </row>
    <row r="26" spans="1:34" ht="12">
      <c r="A26" s="4" t="s">
        <v>2</v>
      </c>
      <c r="B26" s="4">
        <f>(E14-E16-B25*(B13^2-B15^2))/(B13-B15)</f>
        <v>0.0854797042951249</v>
      </c>
      <c r="C26" s="4"/>
      <c r="H26" s="4"/>
      <c r="I26" s="4"/>
      <c r="AE26" s="3">
        <v>23</v>
      </c>
      <c r="AF26" s="3">
        <f t="shared" si="0"/>
        <v>-0.9804835767497684</v>
      </c>
      <c r="AG26" s="3">
        <f t="shared" si="1"/>
        <v>12.410964817612777</v>
      </c>
      <c r="AH26" s="3">
        <f t="shared" si="2"/>
        <v>-1.9046734709147237</v>
      </c>
    </row>
    <row r="27" spans="1:34" ht="12">
      <c r="A27" s="4" t="s">
        <v>3</v>
      </c>
      <c r="B27" s="4">
        <f>E16-B25*B15^2-B26*B15</f>
        <v>-5.159802050225023</v>
      </c>
      <c r="C27" s="4" t="s">
        <v>4</v>
      </c>
      <c r="H27" s="4"/>
      <c r="I27" s="4"/>
      <c r="AE27" s="3">
        <v>24</v>
      </c>
      <c r="AF27" s="3">
        <f t="shared" si="0"/>
        <v>-0.9650308995792127</v>
      </c>
      <c r="AG27" s="3">
        <f t="shared" si="1"/>
        <v>12.950571983595943</v>
      </c>
      <c r="AH27" s="3">
        <f t="shared" si="2"/>
        <v>-1.8746553197092415</v>
      </c>
    </row>
    <row r="28" spans="1:34" ht="12.75">
      <c r="A28" s="32" t="s">
        <v>33</v>
      </c>
      <c r="B28" s="11">
        <f>B25/$B$24</f>
        <v>-0.0006351077974707297</v>
      </c>
      <c r="C28" s="4" t="s">
        <v>5</v>
      </c>
      <c r="H28" s="4"/>
      <c r="I28" s="4"/>
      <c r="AE28" s="3">
        <v>25</v>
      </c>
      <c r="AF28" s="3">
        <f t="shared" si="0"/>
        <v>-0.9499310600739186</v>
      </c>
      <c r="AG28" s="3">
        <f t="shared" si="1"/>
        <v>13.490179149579106</v>
      </c>
      <c r="AH28" s="3">
        <f t="shared" si="2"/>
        <v>-1.8453225859411326</v>
      </c>
    </row>
    <row r="29" spans="1:34" ht="12.75">
      <c r="A29" s="32" t="s">
        <v>34</v>
      </c>
      <c r="B29" s="11">
        <f>B26</f>
        <v>0.0854797042951249</v>
      </c>
      <c r="C29" s="4"/>
      <c r="H29" s="4"/>
      <c r="I29" s="4"/>
      <c r="AE29" s="3">
        <v>26</v>
      </c>
      <c r="AF29" s="3">
        <f t="shared" si="0"/>
        <v>-0.9351840582338858</v>
      </c>
      <c r="AG29" s="3">
        <f t="shared" si="1"/>
        <v>14.029786315562271</v>
      </c>
      <c r="AH29" s="3">
        <f t="shared" si="2"/>
        <v>-1.8166752696103976</v>
      </c>
    </row>
    <row r="30" spans="1:34" ht="12.75">
      <c r="A30" s="32" t="s">
        <v>35</v>
      </c>
      <c r="B30" s="11">
        <f>$B$24*B27</f>
        <v>-5.159802050225023</v>
      </c>
      <c r="C30" s="4" t="s">
        <v>4</v>
      </c>
      <c r="H30" s="4"/>
      <c r="I30" s="4"/>
      <c r="AE30" s="3">
        <v>27</v>
      </c>
      <c r="AF30" s="3">
        <f t="shared" si="0"/>
        <v>-0.9207898940591147</v>
      </c>
      <c r="AG30" s="3">
        <f t="shared" si="1"/>
        <v>14.569393481545434</v>
      </c>
      <c r="AH30" s="3">
        <f t="shared" si="2"/>
        <v>-1.788713370717037</v>
      </c>
    </row>
    <row r="31" spans="1:34" ht="12.75">
      <c r="A31" s="4" t="s">
        <v>14</v>
      </c>
      <c r="B31" s="11">
        <f>($B$28*B36^2+$B$29*B36+$B$30)/3.6</f>
        <v>-0.726361875806181</v>
      </c>
      <c r="C31" s="4" t="s">
        <v>0</v>
      </c>
      <c r="E31" s="4">
        <f>B31*3.6</f>
        <v>-2.6149027529022515</v>
      </c>
      <c r="F31" s="4" t="s">
        <v>4</v>
      </c>
      <c r="H31" s="6">
        <f>B31/1.8532*3600/1000</f>
        <v>-1.4110202638151583</v>
      </c>
      <c r="I31" s="4" t="s">
        <v>16</v>
      </c>
      <c r="AE31" s="3">
        <v>28</v>
      </c>
      <c r="AF31" s="3">
        <f t="shared" si="0"/>
        <v>-0.906748567549605</v>
      </c>
      <c r="AG31" s="3">
        <f t="shared" si="1"/>
        <v>15.1090006475286</v>
      </c>
      <c r="AH31" s="3">
        <f t="shared" si="2"/>
        <v>-1.7614368892610501</v>
      </c>
    </row>
    <row r="32" spans="1:34" ht="12">
      <c r="A32" s="39" t="s">
        <v>41</v>
      </c>
      <c r="B32" s="31">
        <f>-B29/2/B28</f>
        <v>67.29542971723978</v>
      </c>
      <c r="C32" s="4" t="s">
        <v>4</v>
      </c>
      <c r="H32" s="5">
        <f>B32/1.8532</f>
        <v>36.31309611333897</v>
      </c>
      <c r="I32" s="4" t="s">
        <v>16</v>
      </c>
      <c r="AE32" s="3">
        <v>29</v>
      </c>
      <c r="AF32" s="3">
        <f t="shared" si="0"/>
        <v>-0.8930600787053569</v>
      </c>
      <c r="AG32" s="3">
        <f t="shared" si="1"/>
        <v>15.648607813511763</v>
      </c>
      <c r="AH32" s="3">
        <f t="shared" si="2"/>
        <v>-1.7348458252424372</v>
      </c>
    </row>
    <row r="33" spans="1:34" ht="12">
      <c r="A33" s="40" t="s">
        <v>42</v>
      </c>
      <c r="B33">
        <f>E33/3.6</f>
        <v>-0.6343348149731987</v>
      </c>
      <c r="C33" s="4" t="s">
        <v>0</v>
      </c>
      <c r="E33" s="4">
        <f>B28*B32^2+B29*B32+B30</f>
        <v>-2.283605333903515</v>
      </c>
      <c r="F33" s="4" t="s">
        <v>4</v>
      </c>
      <c r="H33" s="6">
        <f>B33/1.8532*3600/1000</f>
        <v>-1.2322498024517134</v>
      </c>
      <c r="I33" s="4" t="s">
        <v>16</v>
      </c>
      <c r="AE33" s="3">
        <v>30</v>
      </c>
      <c r="AF33" s="3">
        <f t="shared" si="0"/>
        <v>-0.8797244275263704</v>
      </c>
      <c r="AG33" s="3">
        <f t="shared" si="1"/>
        <v>16.188214979494926</v>
      </c>
      <c r="AH33" s="3">
        <f t="shared" si="2"/>
        <v>-1.7089401786611986</v>
      </c>
    </row>
    <row r="34" spans="1:34" ht="12.75">
      <c r="A34" s="23" t="s">
        <v>28</v>
      </c>
      <c r="B34" s="24"/>
      <c r="C34" s="24"/>
      <c r="D34" s="24"/>
      <c r="E34" s="24"/>
      <c r="F34" s="24"/>
      <c r="G34" s="24"/>
      <c r="H34" s="24"/>
      <c r="I34" s="25"/>
      <c r="AE34" s="3">
        <v>31</v>
      </c>
      <c r="AF34" s="3">
        <f t="shared" si="0"/>
        <v>-0.8667416140126452</v>
      </c>
      <c r="AG34" s="3">
        <f t="shared" si="1"/>
        <v>16.727822145478093</v>
      </c>
      <c r="AH34" s="3">
        <f t="shared" si="2"/>
        <v>-1.6837199495173336</v>
      </c>
    </row>
    <row r="35" spans="1:34" ht="12.75">
      <c r="A35" s="4" t="s">
        <v>15</v>
      </c>
      <c r="B35" s="20">
        <f>-B36/B31/3.6</f>
        <v>34.4696803221853</v>
      </c>
      <c r="C35" s="4"/>
      <c r="H35" s="12">
        <f>-H36/H31</f>
        <v>34.4696803221853</v>
      </c>
      <c r="I35" s="4"/>
      <c r="AE35" s="3">
        <v>32</v>
      </c>
      <c r="AF35" s="3">
        <f t="shared" si="0"/>
        <v>-0.8541116381641816</v>
      </c>
      <c r="AG35" s="3">
        <f t="shared" si="1"/>
        <v>17.267429311461257</v>
      </c>
      <c r="AH35" s="3">
        <f t="shared" si="2"/>
        <v>-1.6591851378108426</v>
      </c>
    </row>
    <row r="36" spans="1:34" ht="12.75">
      <c r="A36" s="4" t="s">
        <v>54</v>
      </c>
      <c r="B36" s="20">
        <f>SQRT(B30/B28)</f>
        <v>90.13486196614289</v>
      </c>
      <c r="C36" s="4" t="s">
        <v>4</v>
      </c>
      <c r="H36" s="5">
        <f>B36/1.8532</f>
        <v>48.637417421834066</v>
      </c>
      <c r="I36" s="4" t="s">
        <v>16</v>
      </c>
      <c r="AE36" s="3">
        <v>33</v>
      </c>
      <c r="AF36" s="3">
        <f t="shared" si="0"/>
        <v>-0.8418344999809795</v>
      </c>
      <c r="AG36" s="3">
        <f t="shared" si="1"/>
        <v>17.80703647744442</v>
      </c>
      <c r="AH36" s="3">
        <f t="shared" si="2"/>
        <v>-1.6353357435417257</v>
      </c>
    </row>
    <row r="37" spans="1:34" ht="12.75">
      <c r="A37" s="4" t="s">
        <v>55</v>
      </c>
      <c r="B37" s="20">
        <f>(-B29-SQRT(B29^2-4*B28*(B30+2*3.6)))/(2*B28)</f>
        <v>155.2786081524093</v>
      </c>
      <c r="C37" s="4" t="s">
        <v>4</v>
      </c>
      <c r="D37" s="16"/>
      <c r="E37" s="17"/>
      <c r="F37" s="17"/>
      <c r="G37" s="18"/>
      <c r="H37" s="5">
        <f>B37/1.8532</f>
        <v>83.78944968293185</v>
      </c>
      <c r="I37" s="4" t="s">
        <v>16</v>
      </c>
      <c r="AE37" s="3">
        <v>34</v>
      </c>
      <c r="AF37" s="3">
        <f t="shared" si="0"/>
        <v>-0.8299101994630389</v>
      </c>
      <c r="AG37" s="3">
        <f t="shared" si="1"/>
        <v>18.346643643427583</v>
      </c>
      <c r="AH37" s="3">
        <f t="shared" si="2"/>
        <v>-1.6121717667099829</v>
      </c>
    </row>
    <row r="38" spans="1:34" ht="12">
      <c r="A38" s="39" t="s">
        <v>51</v>
      </c>
      <c r="B38" s="44" t="str">
        <f>CONCATENATE(Glider,", ",ID,", ",ROUND(Cambridge_Max_Glide,0),", ",ROUND(Cambridge_V1_Speed,0),", ",ROUND(Cambridge_V2_Speed,0),", ",Dry_Weight_Now,", ",Max_Water,", 0, ",Wing_Area*1000)</f>
        <v>Libelle 201B, GFR, 34, 90, 155, 377, 0, 0, 11390</v>
      </c>
      <c r="C38" s="45"/>
      <c r="D38" s="45"/>
      <c r="E38" s="45"/>
      <c r="F38" s="45"/>
      <c r="G38" s="45"/>
      <c r="H38" s="45"/>
      <c r="I38" s="46"/>
      <c r="AE38" s="3">
        <v>35</v>
      </c>
      <c r="AF38" s="3">
        <f t="shared" si="0"/>
        <v>-0.8183387366103599</v>
      </c>
      <c r="AG38" s="3">
        <f t="shared" si="1"/>
        <v>18.88625080941075</v>
      </c>
      <c r="AH38" s="3">
        <f t="shared" si="2"/>
        <v>-1.589693207315614</v>
      </c>
    </row>
    <row r="39" spans="1:34" ht="12.75">
      <c r="A39" s="23" t="s">
        <v>24</v>
      </c>
      <c r="B39" s="24"/>
      <c r="C39" s="24"/>
      <c r="D39" s="24"/>
      <c r="E39" s="24"/>
      <c r="F39" s="24"/>
      <c r="G39" s="24"/>
      <c r="H39" s="24"/>
      <c r="I39" s="25"/>
      <c r="AE39" s="3">
        <v>36</v>
      </c>
      <c r="AF39" s="3">
        <f t="shared" si="0"/>
        <v>-0.8071201114229424</v>
      </c>
      <c r="AG39" s="3">
        <f t="shared" si="1"/>
        <v>19.425857975393914</v>
      </c>
      <c r="AH39" s="3">
        <f t="shared" si="2"/>
        <v>-1.567900065358619</v>
      </c>
    </row>
    <row r="40" spans="1:34" ht="12.75">
      <c r="A40" s="19" t="s">
        <v>56</v>
      </c>
      <c r="B40" s="20">
        <f>B36</f>
        <v>90.13486196614289</v>
      </c>
      <c r="C40" s="4" t="s">
        <v>4</v>
      </c>
      <c r="H40" s="5">
        <f>B40/1.8532</f>
        <v>48.637417421834066</v>
      </c>
      <c r="I40" s="4" t="s">
        <v>16</v>
      </c>
      <c r="AE40" s="3">
        <v>37</v>
      </c>
      <c r="AF40" s="3">
        <f t="shared" si="0"/>
        <v>-0.7962543239007863</v>
      </c>
      <c r="AG40" s="3">
        <f t="shared" si="1"/>
        <v>19.965465141377077</v>
      </c>
      <c r="AH40" s="3">
        <f t="shared" si="2"/>
        <v>-1.5467923408389979</v>
      </c>
    </row>
    <row r="41" spans="1:34" ht="12.75">
      <c r="A41" s="19" t="s">
        <v>57</v>
      </c>
      <c r="B41" s="26">
        <f>($B$28*B40^2+$B$29*B40+$B$30)/3.6</f>
        <v>-0.726361875806181</v>
      </c>
      <c r="C41" s="4" t="s">
        <v>0</v>
      </c>
      <c r="E41" s="4">
        <f>B41*3.6</f>
        <v>-2.6149027529022515</v>
      </c>
      <c r="F41" s="4" t="s">
        <v>4</v>
      </c>
      <c r="H41" s="6">
        <f>B41/1.8532*3600/1000</f>
        <v>-1.4110202638151583</v>
      </c>
      <c r="I41" s="4" t="s">
        <v>16</v>
      </c>
      <c r="AE41" s="3">
        <v>38</v>
      </c>
      <c r="AF41" s="3">
        <f t="shared" si="0"/>
        <v>-0.7857413740438919</v>
      </c>
      <c r="AG41" s="3">
        <f t="shared" si="1"/>
        <v>20.50507230736024</v>
      </c>
      <c r="AH41" s="3">
        <f t="shared" si="2"/>
        <v>-1.526370033756751</v>
      </c>
    </row>
    <row r="42" spans="1:34" ht="12.75">
      <c r="A42" s="19" t="s">
        <v>58</v>
      </c>
      <c r="B42" s="20">
        <f>(B40+B44)/2</f>
        <v>145.06743098307146</v>
      </c>
      <c r="C42" s="4" t="s">
        <v>4</v>
      </c>
      <c r="H42" s="5">
        <f>B42/1.8532</f>
        <v>78.27942530923347</v>
      </c>
      <c r="I42" s="4" t="s">
        <v>16</v>
      </c>
      <c r="AE42" s="3">
        <v>39</v>
      </c>
      <c r="AF42" s="3">
        <f t="shared" si="0"/>
        <v>-0.7755812618522588</v>
      </c>
      <c r="AG42" s="3">
        <f t="shared" si="1"/>
        <v>21.044679473343407</v>
      </c>
      <c r="AH42" s="3">
        <f t="shared" si="2"/>
        <v>-1.5066331441118777</v>
      </c>
    </row>
    <row r="43" spans="1:34" ht="12.75">
      <c r="A43" s="19" t="s">
        <v>59</v>
      </c>
      <c r="B43" s="26">
        <f>($B$28*B42^2+$B$29*B42+$B$30)/3.6</f>
        <v>-1.7014013333518654</v>
      </c>
      <c r="C43" s="4" t="s">
        <v>0</v>
      </c>
      <c r="E43" s="4">
        <f>B43*3.6</f>
        <v>-6.125044800066716</v>
      </c>
      <c r="F43" s="4" t="s">
        <v>4</v>
      </c>
      <c r="H43" s="6">
        <f>B43/1.8532*3600/1000</f>
        <v>-3.3051180660839172</v>
      </c>
      <c r="I43" s="4" t="s">
        <v>16</v>
      </c>
      <c r="AE43" s="3">
        <v>40</v>
      </c>
      <c r="AF43" s="3">
        <f t="shared" si="0"/>
        <v>-0.7657739873258874</v>
      </c>
      <c r="AG43" s="3">
        <f t="shared" si="1"/>
        <v>21.58428663932657</v>
      </c>
      <c r="AH43" s="3">
        <f t="shared" si="2"/>
        <v>-1.4875816719043786</v>
      </c>
    </row>
    <row r="44" spans="1:34" ht="12.75">
      <c r="A44" s="19" t="s">
        <v>60</v>
      </c>
      <c r="B44" s="38">
        <v>200</v>
      </c>
      <c r="C44" s="4" t="s">
        <v>4</v>
      </c>
      <c r="H44" s="5">
        <f>B44/1.8532</f>
        <v>107.92143319663285</v>
      </c>
      <c r="I44" s="4" t="s">
        <v>16</v>
      </c>
      <c r="AE44" s="3">
        <v>41</v>
      </c>
      <c r="AF44" s="3">
        <f t="shared" si="0"/>
        <v>-0.7563195504647775</v>
      </c>
      <c r="AG44" s="3">
        <f t="shared" si="1"/>
        <v>22.123893805309734</v>
      </c>
      <c r="AH44" s="3">
        <f t="shared" si="2"/>
        <v>-1.4692156171342539</v>
      </c>
    </row>
    <row r="45" spans="1:34" ht="12.75">
      <c r="A45" s="19" t="s">
        <v>61</v>
      </c>
      <c r="B45" s="47">
        <f>($B$28*B44^2+$B$29*B44+$B$30)/3.6</f>
        <v>-3.741159191674786</v>
      </c>
      <c r="C45" s="48" t="s">
        <v>0</v>
      </c>
      <c r="E45" s="48">
        <f>B45*3.6</f>
        <v>-13.46817309002923</v>
      </c>
      <c r="F45" s="48" t="s">
        <v>4</v>
      </c>
      <c r="H45" s="49">
        <f>B45/1.8532*3600/1000</f>
        <v>-7.26752271208139</v>
      </c>
      <c r="I45" s="48" t="s">
        <v>16</v>
      </c>
      <c r="AE45" s="3">
        <v>42</v>
      </c>
      <c r="AF45" s="3">
        <f t="shared" si="0"/>
        <v>-0.7472179512689291</v>
      </c>
      <c r="AG45" s="3">
        <f t="shared" si="1"/>
        <v>22.663500971292898</v>
      </c>
      <c r="AH45" s="3">
        <f t="shared" si="2"/>
        <v>-1.4515349798015027</v>
      </c>
    </row>
    <row r="46" spans="1:34" ht="12">
      <c r="A46" s="39" t="s">
        <v>52</v>
      </c>
      <c r="B46" s="44" t="str">
        <f>CONCATENATE(Dry_Weight_Now,", ",Max_Water,", ",ROUND(WP_V1,0),", ",ROUND(WP_W1,2),", ",ROUND(WP_V2,0),", ",ROUND(WP_W2,2),", ",ROUND(WP_V3,0),", ",ROUND(WP_W3,2))</f>
        <v>377, 0, 90, -0.73, 145, -1.7, 200, -3.74</v>
      </c>
      <c r="C46" s="45"/>
      <c r="D46" s="45"/>
      <c r="E46" s="45"/>
      <c r="F46" s="45"/>
      <c r="G46" s="45"/>
      <c r="H46" s="45"/>
      <c r="I46" s="46"/>
      <c r="AE46" s="3">
        <v>43</v>
      </c>
      <c r="AF46" s="3">
        <f t="shared" si="0"/>
        <v>-0.7384691897383422</v>
      </c>
      <c r="AG46" s="3">
        <f t="shared" si="1"/>
        <v>23.203108137276065</v>
      </c>
      <c r="AH46" s="3">
        <f t="shared" si="2"/>
        <v>-1.4345397599061256</v>
      </c>
    </row>
    <row r="47" spans="1:34" ht="12.75">
      <c r="A47" s="33" t="s">
        <v>32</v>
      </c>
      <c r="B47" s="34"/>
      <c r="C47" s="34"/>
      <c r="D47" s="34"/>
      <c r="E47" s="34"/>
      <c r="F47" s="34"/>
      <c r="G47" s="34"/>
      <c r="H47" s="34"/>
      <c r="I47" s="35"/>
      <c r="AE47" s="3">
        <v>44</v>
      </c>
      <c r="AF47" s="3">
        <f t="shared" si="0"/>
        <v>-0.7300732658730168</v>
      </c>
      <c r="AG47" s="3">
        <f t="shared" si="1"/>
        <v>23.742715303259228</v>
      </c>
      <c r="AH47" s="3">
        <f t="shared" si="2"/>
        <v>-1.4182299574481225</v>
      </c>
    </row>
    <row r="48" spans="1:34" ht="12.75">
      <c r="A48" s="32" t="s">
        <v>38</v>
      </c>
      <c r="B48" s="43">
        <f>-1*((WP_V2/100-WP_V3/100)*(WP_W1-WP_W3)+(WP_V3/100-WP_V1/100)*(WP_W2-WP_W3))/((WP_V1/100)^2*(WP_V2/100-WP_V3/100)+(WP_V2/100)^2*(WP_V3/100-WP_V1/100)+(WP_V3/100)^2*(WP_V1/100-WP_V2/100))</f>
        <v>1.7641883263075835</v>
      </c>
      <c r="AE48" s="3">
        <v>45</v>
      </c>
      <c r="AF48" s="3">
        <f t="shared" si="0"/>
        <v>-0.722030179672953</v>
      </c>
      <c r="AG48" s="3">
        <f t="shared" si="1"/>
        <v>24.28232246924239</v>
      </c>
      <c r="AH48" s="3">
        <f t="shared" si="2"/>
        <v>-1.4026055724274935</v>
      </c>
    </row>
    <row r="49" spans="1:34" ht="12.75">
      <c r="A49" s="32" t="s">
        <v>36</v>
      </c>
      <c r="B49" s="43">
        <f>-1*((WP_W2-WP_W3)+SeeYou_a*((WP_V2/100)^2-(WP_V3/100)^2))/(WP_V2/100-WP_V3/100)</f>
        <v>-2.3744362304201396</v>
      </c>
      <c r="AE49" s="3">
        <v>46</v>
      </c>
      <c r="AF49" s="3">
        <f t="shared" si="0"/>
        <v>-0.7143399311381505</v>
      </c>
      <c r="AG49" s="3">
        <f t="shared" si="1"/>
        <v>24.821929635225555</v>
      </c>
      <c r="AH49" s="3">
        <f t="shared" si="2"/>
        <v>-1.387666604844238</v>
      </c>
    </row>
    <row r="50" spans="1:34" ht="12.75">
      <c r="A50" s="32" t="s">
        <v>37</v>
      </c>
      <c r="B50" s="36">
        <f>-1*(WP_W3+SeeYou_a*(WP_V3/100)^2+SeeYou_b*WP_V3/100)</f>
        <v>1.4332783472847312</v>
      </c>
      <c r="AE50" s="3">
        <v>47</v>
      </c>
      <c r="AF50" s="3">
        <f t="shared" si="0"/>
        <v>-0.7070025202686097</v>
      </c>
      <c r="AG50" s="3">
        <f t="shared" si="1"/>
        <v>25.36153680120872</v>
      </c>
      <c r="AH50" s="3">
        <f t="shared" si="2"/>
        <v>-1.3734130546983567</v>
      </c>
    </row>
    <row r="51" spans="31:34" ht="12">
      <c r="AE51" s="3">
        <v>48</v>
      </c>
      <c r="AF51" s="3">
        <f t="shared" si="0"/>
        <v>-0.7000179470643303</v>
      </c>
      <c r="AG51" s="3">
        <f t="shared" si="1"/>
        <v>25.901143967191885</v>
      </c>
      <c r="AH51" s="3">
        <f t="shared" si="2"/>
        <v>-1.3598449219898496</v>
      </c>
    </row>
    <row r="52" spans="1:34" ht="12.75">
      <c r="A52" s="77" t="s">
        <v>74</v>
      </c>
      <c r="B52" s="14"/>
      <c r="C52" s="14"/>
      <c r="D52" s="14"/>
      <c r="E52" s="14"/>
      <c r="F52" s="14"/>
      <c r="G52" s="14"/>
      <c r="H52" s="14"/>
      <c r="I52" s="15"/>
      <c r="AE52" s="3">
        <v>49</v>
      </c>
      <c r="AF52" s="3">
        <f t="shared" si="0"/>
        <v>-0.6933862115253125</v>
      </c>
      <c r="AG52" s="3">
        <f t="shared" si="1"/>
        <v>26.44075113317505</v>
      </c>
      <c r="AH52" s="3">
        <f t="shared" si="2"/>
        <v>-1.3469622067187166</v>
      </c>
    </row>
    <row r="53" spans="1:34" ht="12">
      <c r="A53" s="67" t="s">
        <v>79</v>
      </c>
      <c r="B53" s="22"/>
      <c r="C53" s="22"/>
      <c r="D53" s="22"/>
      <c r="E53" s="22"/>
      <c r="F53" s="22"/>
      <c r="G53" s="22"/>
      <c r="H53" s="22"/>
      <c r="I53" s="27"/>
      <c r="AE53" s="3">
        <v>50</v>
      </c>
      <c r="AF53" s="3">
        <f t="shared" si="0"/>
        <v>-0.6871073136515562</v>
      </c>
      <c r="AG53" s="3">
        <f t="shared" si="1"/>
        <v>26.980358299158212</v>
      </c>
      <c r="AH53" s="3">
        <f t="shared" si="2"/>
        <v>-1.3347649088849571</v>
      </c>
    </row>
    <row r="54" spans="1:34" ht="12">
      <c r="A54" s="37" t="s">
        <v>78</v>
      </c>
      <c r="B54" s="17"/>
      <c r="C54" s="17"/>
      <c r="D54" s="17"/>
      <c r="E54" s="17"/>
      <c r="F54" s="17"/>
      <c r="G54" s="17"/>
      <c r="H54" s="17"/>
      <c r="I54" s="18"/>
      <c r="AE54" s="3">
        <v>51</v>
      </c>
      <c r="AF54" s="3">
        <f t="shared" si="0"/>
        <v>-0.6811812534430615</v>
      </c>
      <c r="AG54" s="3">
        <f t="shared" si="1"/>
        <v>27.51996546514138</v>
      </c>
      <c r="AH54" s="3">
        <f t="shared" si="2"/>
        <v>-1.3232530284885717</v>
      </c>
    </row>
    <row r="55" spans="1:34" ht="12">
      <c r="A55" s="51" t="s">
        <v>64</v>
      </c>
      <c r="B55" s="52">
        <v>3</v>
      </c>
      <c r="C55" s="51" t="s">
        <v>16</v>
      </c>
      <c r="D55" s="22"/>
      <c r="E55" s="51">
        <f>H55*3.6</f>
        <v>5.5596</v>
      </c>
      <c r="F55" s="51" t="s">
        <v>4</v>
      </c>
      <c r="G55" s="22"/>
      <c r="H55" s="51">
        <f aca="true" t="shared" si="3" ref="H55:H60">B55*1.8532*1000/3600</f>
        <v>1.5443333333333331</v>
      </c>
      <c r="I55" s="51" t="s">
        <v>0</v>
      </c>
      <c r="AE55" s="3">
        <v>52</v>
      </c>
      <c r="AF55" s="3">
        <f t="shared" si="0"/>
        <v>-0.6756080308998282</v>
      </c>
      <c r="AG55" s="3">
        <f t="shared" si="1"/>
        <v>28.059572631124542</v>
      </c>
      <c r="AH55" s="3">
        <f t="shared" si="2"/>
        <v>-1.3124265655295606</v>
      </c>
    </row>
    <row r="56" spans="1:34" ht="12">
      <c r="A56" s="51" t="s">
        <v>69</v>
      </c>
      <c r="B56" s="60">
        <v>0</v>
      </c>
      <c r="C56" s="51" t="s">
        <v>16</v>
      </c>
      <c r="E56" s="51">
        <f>H56*3.6</f>
        <v>0</v>
      </c>
      <c r="F56" s="51" t="s">
        <v>4</v>
      </c>
      <c r="G56" s="22"/>
      <c r="H56" s="51">
        <f t="shared" si="3"/>
        <v>0</v>
      </c>
      <c r="I56" s="51" t="s">
        <v>0</v>
      </c>
      <c r="AE56" s="3">
        <v>53</v>
      </c>
      <c r="AF56" s="3">
        <f t="shared" si="0"/>
        <v>-0.6703876460218564</v>
      </c>
      <c r="AG56" s="3">
        <f t="shared" si="1"/>
        <v>28.599179797107706</v>
      </c>
      <c r="AH56" s="3">
        <f t="shared" si="2"/>
        <v>-1.3022855200079229</v>
      </c>
    </row>
    <row r="57" spans="1:34" ht="12.75">
      <c r="A57" s="4" t="s">
        <v>65</v>
      </c>
      <c r="B57" s="69">
        <f>E57/1.8532</f>
        <v>70.10342978496888</v>
      </c>
      <c r="C57" s="4" t="s">
        <v>16</v>
      </c>
      <c r="E57" s="4">
        <f>(B28*E56-SQRT(B28*(B28*E56^2-E55+B29*E56+B30)))/B28</f>
        <v>129.91567607750432</v>
      </c>
      <c r="F57" s="51" t="s">
        <v>4</v>
      </c>
      <c r="H57" s="4">
        <f t="shared" si="3"/>
        <v>36.08768779930676</v>
      </c>
      <c r="I57" s="4" t="s">
        <v>0</v>
      </c>
      <c r="AE57" s="3">
        <v>54</v>
      </c>
      <c r="AF57" s="3">
        <f t="shared" si="0"/>
        <v>-0.6655200988091463</v>
      </c>
      <c r="AG57" s="3">
        <f t="shared" si="1"/>
        <v>29.13878696309087</v>
      </c>
      <c r="AH57" s="3">
        <f t="shared" si="2"/>
        <v>-1.2928298919236603</v>
      </c>
    </row>
    <row r="58" spans="1:34" ht="12">
      <c r="A58" s="4" t="s">
        <v>71</v>
      </c>
      <c r="B58" s="58">
        <f>E58/1.8532</f>
        <v>-2.5761118746189005</v>
      </c>
      <c r="C58" s="4" t="s">
        <v>16</v>
      </c>
      <c r="E58" s="4">
        <f>B28*E57^2+B29*E57+B30</f>
        <v>-4.774050526043746</v>
      </c>
      <c r="F58" s="51" t="s">
        <v>4</v>
      </c>
      <c r="H58" s="4">
        <f t="shared" si="3"/>
        <v>-1.326125146123263</v>
      </c>
      <c r="I58" s="4" t="s">
        <v>0</v>
      </c>
      <c r="AE58" s="3">
        <v>55</v>
      </c>
      <c r="AF58" s="3">
        <f t="shared" si="0"/>
        <v>-0.6610053892616976</v>
      </c>
      <c r="AG58" s="3">
        <f t="shared" si="1"/>
        <v>29.678394129074036</v>
      </c>
      <c r="AH58" s="3">
        <f t="shared" si="2"/>
        <v>-1.2840596812767706</v>
      </c>
    </row>
    <row r="59" spans="1:34" ht="12.75">
      <c r="A59" s="4" t="s">
        <v>72</v>
      </c>
      <c r="B59" s="70">
        <f>B55-B56*B63</f>
        <v>3</v>
      </c>
      <c r="C59" s="56" t="s">
        <v>16</v>
      </c>
      <c r="E59" s="4">
        <f>H59*3.6</f>
        <v>5.5596</v>
      </c>
      <c r="F59" s="4" t="s">
        <v>4</v>
      </c>
      <c r="H59" s="4">
        <f t="shared" si="3"/>
        <v>1.5443333333333331</v>
      </c>
      <c r="I59" s="4" t="s">
        <v>0</v>
      </c>
      <c r="AE59" s="3">
        <v>56</v>
      </c>
      <c r="AF59" s="3">
        <f t="shared" si="0"/>
        <v>-0.6568435173795103</v>
      </c>
      <c r="AG59" s="3">
        <f t="shared" si="1"/>
        <v>30.2180012950572</v>
      </c>
      <c r="AH59" s="3">
        <f t="shared" si="2"/>
        <v>-1.2759748880672552</v>
      </c>
    </row>
    <row r="60" spans="1:34" ht="12">
      <c r="A60" s="4" t="s">
        <v>73</v>
      </c>
      <c r="B60" s="59">
        <f>E60/1.8532</f>
        <v>37.716296603048384</v>
      </c>
      <c r="C60" s="4" t="s">
        <v>16</v>
      </c>
      <c r="E60" s="4">
        <f>-E59/B63</f>
        <v>69.89584086476927</v>
      </c>
      <c r="F60" s="4" t="s">
        <v>4</v>
      </c>
      <c r="H60" s="4">
        <f t="shared" si="3"/>
        <v>19.4155113513248</v>
      </c>
      <c r="I60" s="4" t="s">
        <v>0</v>
      </c>
      <c r="M60" s="29"/>
      <c r="N60" s="54"/>
      <c r="O60" s="29"/>
      <c r="P60" s="54"/>
      <c r="R60" s="54"/>
      <c r="AE60" s="3">
        <v>57</v>
      </c>
      <c r="AF60" s="3">
        <f t="shared" si="0"/>
        <v>-0.6530344831625846</v>
      </c>
      <c r="AG60" s="3">
        <f t="shared" si="1"/>
        <v>30.757608461040363</v>
      </c>
      <c r="AH60" s="3">
        <f t="shared" si="2"/>
        <v>-1.2685755122951137</v>
      </c>
    </row>
    <row r="61" spans="1:34" ht="12">
      <c r="A61" s="32" t="s">
        <v>77</v>
      </c>
      <c r="B61" s="57">
        <f>-E57/E58</f>
        <v>27.212882513240885</v>
      </c>
      <c r="C61" s="53" t="s">
        <v>66</v>
      </c>
      <c r="E61" s="4"/>
      <c r="F61" s="4"/>
      <c r="H61" s="4"/>
      <c r="I61" s="4"/>
      <c r="K61" s="61" t="s">
        <v>80</v>
      </c>
      <c r="L61" s="50"/>
      <c r="M61" s="50"/>
      <c r="N61" s="50"/>
      <c r="O61" s="50"/>
      <c r="P61" s="50"/>
      <c r="Q61" s="50"/>
      <c r="R61" s="50"/>
      <c r="S61" s="31"/>
      <c r="AE61" s="3">
        <v>58</v>
      </c>
      <c r="AF61" s="3">
        <f t="shared" si="0"/>
        <v>-0.6495782866109204</v>
      </c>
      <c r="AG61" s="3">
        <f t="shared" si="1"/>
        <v>31.297215627023526</v>
      </c>
      <c r="AH61" s="3">
        <f t="shared" si="2"/>
        <v>-1.2618615539603462</v>
      </c>
    </row>
    <row r="62" spans="1:34" ht="12">
      <c r="A62" s="32" t="s">
        <v>76</v>
      </c>
      <c r="B62" s="57">
        <f>-(E57-E56)/E58</f>
        <v>27.212882513240885</v>
      </c>
      <c r="C62" s="53" t="s">
        <v>66</v>
      </c>
      <c r="E62" s="4"/>
      <c r="F62" s="4"/>
      <c r="H62" s="4"/>
      <c r="I62" s="4"/>
      <c r="K62" s="67" t="s">
        <v>67</v>
      </c>
      <c r="L62" s="22"/>
      <c r="M62" s="22"/>
      <c r="N62" s="27"/>
      <c r="P62" s="62" t="s">
        <v>68</v>
      </c>
      <c r="Q62" s="14"/>
      <c r="R62" s="14"/>
      <c r="S62" s="15"/>
      <c r="AE62" s="3">
        <v>59</v>
      </c>
      <c r="AF62" s="3">
        <f t="shared" si="0"/>
        <v>-0.6464749277245179</v>
      </c>
      <c r="AG62" s="3">
        <f t="shared" si="1"/>
        <v>31.836822793006693</v>
      </c>
      <c r="AH62" s="3">
        <f t="shared" si="2"/>
        <v>-1.255833013062953</v>
      </c>
    </row>
    <row r="63" spans="1:34" ht="12">
      <c r="A63" s="4" t="s">
        <v>70</v>
      </c>
      <c r="B63" s="35">
        <f>2*B28*E57+B29</f>
        <v>-0.07954121348588418</v>
      </c>
      <c r="C63" s="4"/>
      <c r="E63" s="4"/>
      <c r="F63" s="4"/>
      <c r="H63" s="4"/>
      <c r="I63" s="4"/>
      <c r="K63" s="30">
        <v>0</v>
      </c>
      <c r="L63" s="63" t="s">
        <v>16</v>
      </c>
      <c r="M63" s="64">
        <f>B59</f>
        <v>3</v>
      </c>
      <c r="N63" s="65" t="s">
        <v>16</v>
      </c>
      <c r="P63" s="30">
        <v>0</v>
      </c>
      <c r="Q63" s="63" t="s">
        <v>4</v>
      </c>
      <c r="R63" s="22">
        <f>H59</f>
        <v>1.5443333333333331</v>
      </c>
      <c r="S63" s="65" t="s">
        <v>0</v>
      </c>
      <c r="AE63" s="3">
        <v>60</v>
      </c>
      <c r="AF63" s="3">
        <f t="shared" si="0"/>
        <v>-0.6437244065033768</v>
      </c>
      <c r="AG63" s="3">
        <f t="shared" si="1"/>
        <v>32.37642995898985</v>
      </c>
      <c r="AH63" s="3">
        <f t="shared" si="2"/>
        <v>-1.2504898896029337</v>
      </c>
    </row>
    <row r="64" spans="11:34" ht="12">
      <c r="K64" s="55">
        <f>AG253</f>
        <v>134.90179149579106</v>
      </c>
      <c r="L64" s="66" t="s">
        <v>16</v>
      </c>
      <c r="M64" s="17">
        <f>M63+K64*B63</f>
        <v>-7.730252196994952</v>
      </c>
      <c r="N64" s="18" t="s">
        <v>16</v>
      </c>
      <c r="P64" s="16">
        <f>AE253</f>
        <v>250</v>
      </c>
      <c r="Q64" s="66" t="s">
        <v>4</v>
      </c>
      <c r="R64" s="17">
        <f>M64*1.8532*1000/3600</f>
        <v>-3.979362047630846</v>
      </c>
      <c r="S64" s="68" t="s">
        <v>0</v>
      </c>
      <c r="AE64" s="3">
        <v>61</v>
      </c>
      <c r="AF64" s="3">
        <f t="shared" si="0"/>
        <v>-0.6413267229474973</v>
      </c>
      <c r="AG64" s="3">
        <f t="shared" si="1"/>
        <v>32.91603712497302</v>
      </c>
      <c r="AH64" s="3">
        <f t="shared" si="2"/>
        <v>-1.2458321835802884</v>
      </c>
    </row>
    <row r="65" spans="31:34" ht="12">
      <c r="AE65" s="3">
        <v>62</v>
      </c>
      <c r="AF65" s="3">
        <f t="shared" si="0"/>
        <v>-0.6392818770568789</v>
      </c>
      <c r="AG65" s="3">
        <f t="shared" si="1"/>
        <v>33.45564429095619</v>
      </c>
      <c r="AH65" s="3">
        <f t="shared" si="2"/>
        <v>-1.2418598949950161</v>
      </c>
    </row>
    <row r="66" spans="1:34" ht="12">
      <c r="A66" s="71"/>
      <c r="B66" s="72"/>
      <c r="C66" s="73"/>
      <c r="D66" s="71"/>
      <c r="E66" s="71"/>
      <c r="F66" s="71"/>
      <c r="G66" s="71"/>
      <c r="H66" s="71"/>
      <c r="I66" s="71"/>
      <c r="AE66" s="3">
        <v>63</v>
      </c>
      <c r="AF66" s="3">
        <f t="shared" si="0"/>
        <v>-0.6375898688315224</v>
      </c>
      <c r="AG66" s="3">
        <f t="shared" si="1"/>
        <v>33.99525145693935</v>
      </c>
      <c r="AH66" s="3">
        <f t="shared" si="2"/>
        <v>-1.2385730238471186</v>
      </c>
    </row>
    <row r="67" spans="1:34" ht="12">
      <c r="A67" s="71"/>
      <c r="B67" s="74"/>
      <c r="C67" s="71"/>
      <c r="D67" s="71"/>
      <c r="E67" s="71"/>
      <c r="F67" s="71"/>
      <c r="G67" s="71"/>
      <c r="H67" s="71"/>
      <c r="I67" s="71"/>
      <c r="AE67" s="3">
        <v>64</v>
      </c>
      <c r="AF67" s="3">
        <f aca="true" t="shared" si="4" ref="AF67:AF130">($B$28*AE67^2+$B$29*AE67+$B$30)/3.6</f>
        <v>-0.6362506982714274</v>
      </c>
      <c r="AG67" s="3">
        <f t="shared" si="1"/>
        <v>34.53485862292251</v>
      </c>
      <c r="AH67" s="3">
        <f t="shared" si="2"/>
        <v>-1.2359715701365956</v>
      </c>
    </row>
    <row r="68" spans="1:34" ht="12">
      <c r="A68" s="75"/>
      <c r="B68" s="71"/>
      <c r="C68" s="71"/>
      <c r="D68" s="71"/>
      <c r="E68" s="71"/>
      <c r="F68" s="71"/>
      <c r="G68" s="71"/>
      <c r="H68" s="71"/>
      <c r="I68" s="71"/>
      <c r="AE68" s="3">
        <v>65</v>
      </c>
      <c r="AF68" s="3">
        <f t="shared" si="4"/>
        <v>-0.6352643653765938</v>
      </c>
      <c r="AG68" s="3">
        <f aca="true" t="shared" si="5" ref="AG68:AG131">AE68/1.8532</f>
        <v>35.07446578890568</v>
      </c>
      <c r="AH68" s="3">
        <f aca="true" t="shared" si="6" ref="AH68:AH131">AF68/1.8532*3600/1000</f>
        <v>-1.2340555338634458</v>
      </c>
    </row>
    <row r="69" spans="1:34" ht="12">
      <c r="A69" s="71"/>
      <c r="B69" s="71"/>
      <c r="C69" s="71"/>
      <c r="D69" s="71"/>
      <c r="E69" s="71"/>
      <c r="F69" s="71"/>
      <c r="G69" s="71"/>
      <c r="H69" s="71"/>
      <c r="I69" s="71"/>
      <c r="AE69" s="3">
        <v>66</v>
      </c>
      <c r="AF69" s="3">
        <f t="shared" si="4"/>
        <v>-0.6346308701470219</v>
      </c>
      <c r="AG69" s="3">
        <f t="shared" si="5"/>
        <v>35.61407295488884</v>
      </c>
      <c r="AH69" s="3">
        <f t="shared" si="6"/>
        <v>-1.2328249150276704</v>
      </c>
    </row>
    <row r="70" spans="1:34" ht="12.75">
      <c r="A70" s="76"/>
      <c r="B70" s="71"/>
      <c r="C70" s="71"/>
      <c r="D70" s="71"/>
      <c r="E70" s="71"/>
      <c r="F70" s="71"/>
      <c r="G70" s="71"/>
      <c r="H70" s="71"/>
      <c r="I70" s="71"/>
      <c r="AE70" s="3">
        <v>67</v>
      </c>
      <c r="AF70" s="3">
        <f t="shared" si="4"/>
        <v>-0.6343502125827113</v>
      </c>
      <c r="AG70" s="3">
        <f t="shared" si="5"/>
        <v>36.153680120872004</v>
      </c>
      <c r="AH70" s="3">
        <f t="shared" si="6"/>
        <v>-1.2322797136292687</v>
      </c>
    </row>
    <row r="71" spans="31:34" ht="12">
      <c r="AE71" s="3">
        <v>68</v>
      </c>
      <c r="AF71" s="3">
        <f t="shared" si="4"/>
        <v>-0.6344223926836623</v>
      </c>
      <c r="AG71" s="3">
        <f t="shared" si="5"/>
        <v>36.69328728685517</v>
      </c>
      <c r="AH71" s="3">
        <f t="shared" si="6"/>
        <v>-1.2324199296682412</v>
      </c>
    </row>
    <row r="72" spans="31:34" ht="12">
      <c r="AE72" s="3">
        <v>69</v>
      </c>
      <c r="AF72" s="3">
        <f t="shared" si="4"/>
        <v>-0.6348474104498748</v>
      </c>
      <c r="AG72" s="3">
        <f t="shared" si="5"/>
        <v>37.23289445283834</v>
      </c>
      <c r="AH72" s="3">
        <f t="shared" si="6"/>
        <v>-1.2332455631445876</v>
      </c>
    </row>
    <row r="73" spans="31:34" ht="12">
      <c r="AE73" s="3">
        <v>70</v>
      </c>
      <c r="AF73" s="3">
        <f t="shared" si="4"/>
        <v>-0.6356252658813489</v>
      </c>
      <c r="AG73" s="3">
        <f t="shared" si="5"/>
        <v>37.7725016188215</v>
      </c>
      <c r="AH73" s="3">
        <f t="shared" si="6"/>
        <v>-1.2347566140583077</v>
      </c>
    </row>
    <row r="74" spans="31:34" ht="12">
      <c r="AE74" s="3">
        <v>71</v>
      </c>
      <c r="AF74" s="3">
        <f t="shared" si="4"/>
        <v>-0.6367559589780845</v>
      </c>
      <c r="AG74" s="3">
        <f t="shared" si="5"/>
        <v>38.312108784804664</v>
      </c>
      <c r="AH74" s="3">
        <f t="shared" si="6"/>
        <v>-1.2369530824094022</v>
      </c>
    </row>
    <row r="75" spans="31:34" ht="12">
      <c r="AE75" s="3">
        <v>72</v>
      </c>
      <c r="AF75" s="3">
        <f t="shared" si="4"/>
        <v>-0.6382394897400816</v>
      </c>
      <c r="AG75" s="3">
        <f t="shared" si="5"/>
        <v>38.85171595078783</v>
      </c>
      <c r="AH75" s="3">
        <f t="shared" si="6"/>
        <v>-1.2398349681978704</v>
      </c>
    </row>
    <row r="76" spans="31:34" ht="12">
      <c r="AE76" s="3">
        <v>73</v>
      </c>
      <c r="AF76" s="3">
        <f t="shared" si="4"/>
        <v>-0.6400758581673399</v>
      </c>
      <c r="AG76" s="3">
        <f t="shared" si="5"/>
        <v>39.39132311677099</v>
      </c>
      <c r="AH76" s="3">
        <f t="shared" si="6"/>
        <v>-1.2434022714237123</v>
      </c>
    </row>
    <row r="77" spans="31:34" ht="12">
      <c r="AE77" s="3">
        <v>74</v>
      </c>
      <c r="AF77" s="3">
        <f t="shared" si="4"/>
        <v>-0.6422650642598602</v>
      </c>
      <c r="AG77" s="3">
        <f t="shared" si="5"/>
        <v>39.930930282754154</v>
      </c>
      <c r="AH77" s="3">
        <f t="shared" si="6"/>
        <v>-1.247654992086929</v>
      </c>
    </row>
    <row r="78" spans="31:34" ht="12">
      <c r="AE78" s="3">
        <v>75</v>
      </c>
      <c r="AF78" s="3">
        <f t="shared" si="4"/>
        <v>-0.6448071080176419</v>
      </c>
      <c r="AG78" s="3">
        <f t="shared" si="5"/>
        <v>40.47053744873732</v>
      </c>
      <c r="AH78" s="3">
        <f t="shared" si="6"/>
        <v>-1.2525931301875193</v>
      </c>
    </row>
    <row r="79" spans="31:34" ht="12">
      <c r="AE79" s="3">
        <v>76</v>
      </c>
      <c r="AF79" s="3">
        <f t="shared" si="4"/>
        <v>-0.6477019894406849</v>
      </c>
      <c r="AG79" s="3">
        <f t="shared" si="5"/>
        <v>41.01014461472048</v>
      </c>
      <c r="AH79" s="3">
        <f t="shared" si="6"/>
        <v>-1.2582166857254833</v>
      </c>
    </row>
    <row r="80" spans="31:34" ht="12">
      <c r="AE80" s="3">
        <v>77</v>
      </c>
      <c r="AF80" s="3">
        <f t="shared" si="4"/>
        <v>-0.6509497085289896</v>
      </c>
      <c r="AG80" s="3">
        <f t="shared" si="5"/>
        <v>41.54975178070365</v>
      </c>
      <c r="AH80" s="3">
        <f t="shared" si="6"/>
        <v>-1.2645256587008216</v>
      </c>
    </row>
    <row r="81" spans="31:34" ht="12">
      <c r="AE81" s="3">
        <v>78</v>
      </c>
      <c r="AF81" s="3">
        <f t="shared" si="4"/>
        <v>-0.6545502652825558</v>
      </c>
      <c r="AG81" s="3">
        <f t="shared" si="5"/>
        <v>42.089358946686815</v>
      </c>
      <c r="AH81" s="3">
        <f t="shared" si="6"/>
        <v>-1.271520049113534</v>
      </c>
    </row>
    <row r="82" spans="31:34" ht="12">
      <c r="AE82" s="3">
        <v>79</v>
      </c>
      <c r="AF82" s="3">
        <f t="shared" si="4"/>
        <v>-0.6585036597013832</v>
      </c>
      <c r="AG82" s="3">
        <f t="shared" si="5"/>
        <v>42.62896611266998</v>
      </c>
      <c r="AH82" s="3">
        <f t="shared" si="6"/>
        <v>-1.2791998569636194</v>
      </c>
    </row>
    <row r="83" spans="31:34" ht="12">
      <c r="AE83" s="3">
        <v>80</v>
      </c>
      <c r="AF83" s="3">
        <f t="shared" si="4"/>
        <v>-0.6628098917854727</v>
      </c>
      <c r="AG83" s="3">
        <f t="shared" si="5"/>
        <v>43.16857327865314</v>
      </c>
      <c r="AH83" s="3">
        <f t="shared" si="6"/>
        <v>-1.2875650822510802</v>
      </c>
    </row>
    <row r="84" spans="31:34" ht="12">
      <c r="AE84" s="3">
        <v>81</v>
      </c>
      <c r="AF84" s="3">
        <f t="shared" si="4"/>
        <v>-0.6674689615348233</v>
      </c>
      <c r="AG84" s="3">
        <f t="shared" si="5"/>
        <v>43.708180444636305</v>
      </c>
      <c r="AH84" s="3">
        <f t="shared" si="6"/>
        <v>-1.2966157249759143</v>
      </c>
    </row>
    <row r="85" spans="31:34" ht="12">
      <c r="AE85" s="3">
        <v>82</v>
      </c>
      <c r="AF85" s="3">
        <f t="shared" si="4"/>
        <v>-0.6724808689494356</v>
      </c>
      <c r="AG85" s="3">
        <f t="shared" si="5"/>
        <v>44.24778761061947</v>
      </c>
      <c r="AH85" s="3">
        <f t="shared" si="6"/>
        <v>-1.3063517851381223</v>
      </c>
    </row>
    <row r="86" spans="31:34" ht="12">
      <c r="AE86" s="3">
        <v>83</v>
      </c>
      <c r="AF86" s="3">
        <f t="shared" si="4"/>
        <v>-0.6778456140293095</v>
      </c>
      <c r="AG86" s="3">
        <f t="shared" si="5"/>
        <v>44.78739477660263</v>
      </c>
      <c r="AH86" s="3">
        <f t="shared" si="6"/>
        <v>-1.3167732627377047</v>
      </c>
    </row>
    <row r="87" spans="31:34" ht="12">
      <c r="AE87" s="3">
        <v>84</v>
      </c>
      <c r="AF87" s="3">
        <f t="shared" si="4"/>
        <v>-0.6835631967744448</v>
      </c>
      <c r="AG87" s="3">
        <f t="shared" si="5"/>
        <v>45.327001942585795</v>
      </c>
      <c r="AH87" s="3">
        <f t="shared" si="6"/>
        <v>-1.3278801577746608</v>
      </c>
    </row>
    <row r="88" spans="31:34" ht="12">
      <c r="AE88" s="3">
        <v>85</v>
      </c>
      <c r="AF88" s="3">
        <f t="shared" si="4"/>
        <v>-0.6896336171848414</v>
      </c>
      <c r="AG88" s="3">
        <f t="shared" si="5"/>
        <v>45.866609108568966</v>
      </c>
      <c r="AH88" s="3">
        <f t="shared" si="6"/>
        <v>-1.3396724702489906</v>
      </c>
    </row>
    <row r="89" spans="31:34" ht="12">
      <c r="AE89" s="3">
        <v>86</v>
      </c>
      <c r="AF89" s="3">
        <f t="shared" si="4"/>
        <v>-0.6960568752604995</v>
      </c>
      <c r="AG89" s="3">
        <f t="shared" si="5"/>
        <v>46.40621627455213</v>
      </c>
      <c r="AH89" s="3">
        <f t="shared" si="6"/>
        <v>-1.3521502001606942</v>
      </c>
    </row>
    <row r="90" spans="31:34" ht="12">
      <c r="AE90" s="3">
        <v>87</v>
      </c>
      <c r="AF90" s="3">
        <f t="shared" si="4"/>
        <v>-0.7028329710014194</v>
      </c>
      <c r="AG90" s="3">
        <f t="shared" si="5"/>
        <v>46.94582344053529</v>
      </c>
      <c r="AH90" s="3">
        <f t="shared" si="6"/>
        <v>-1.3653133475097723</v>
      </c>
    </row>
    <row r="91" spans="31:34" ht="12">
      <c r="AE91" s="3">
        <v>88</v>
      </c>
      <c r="AF91" s="3">
        <f t="shared" si="4"/>
        <v>-0.7099619044076009</v>
      </c>
      <c r="AG91" s="3">
        <f t="shared" si="5"/>
        <v>47.485430606518456</v>
      </c>
      <c r="AH91" s="3">
        <f t="shared" si="6"/>
        <v>-1.3791619122962244</v>
      </c>
    </row>
    <row r="92" spans="31:34" ht="12">
      <c r="AE92" s="3">
        <v>89</v>
      </c>
      <c r="AF92" s="3">
        <f t="shared" si="4"/>
        <v>-0.7174436754790439</v>
      </c>
      <c r="AG92" s="3">
        <f t="shared" si="5"/>
        <v>48.02503777250162</v>
      </c>
      <c r="AH92" s="3">
        <f t="shared" si="6"/>
        <v>-1.3936958945200506</v>
      </c>
    </row>
    <row r="93" spans="31:34" ht="12">
      <c r="AE93" s="3">
        <v>90</v>
      </c>
      <c r="AF93" s="3">
        <f t="shared" si="4"/>
        <v>-0.7252782842157482</v>
      </c>
      <c r="AG93" s="3">
        <f t="shared" si="5"/>
        <v>48.56464493848478</v>
      </c>
      <c r="AH93" s="3">
        <f t="shared" si="6"/>
        <v>-1.4089152941812506</v>
      </c>
    </row>
    <row r="94" spans="31:34" ht="12">
      <c r="AE94" s="3">
        <v>91</v>
      </c>
      <c r="AF94" s="3">
        <f t="shared" si="4"/>
        <v>-0.7334657306177138</v>
      </c>
      <c r="AG94" s="3">
        <f t="shared" si="5"/>
        <v>49.104252104467946</v>
      </c>
      <c r="AH94" s="3">
        <f t="shared" si="6"/>
        <v>-1.424820111279824</v>
      </c>
    </row>
    <row r="95" spans="31:34" ht="12">
      <c r="AE95" s="3">
        <v>92</v>
      </c>
      <c r="AF95" s="3">
        <f t="shared" si="4"/>
        <v>-0.7420060146849414</v>
      </c>
      <c r="AG95" s="3">
        <f t="shared" si="5"/>
        <v>49.64385927045111</v>
      </c>
      <c r="AH95" s="3">
        <f t="shared" si="6"/>
        <v>-1.4414103458157723</v>
      </c>
    </row>
    <row r="96" spans="31:34" ht="12">
      <c r="AE96" s="3">
        <v>93</v>
      </c>
      <c r="AF96" s="3">
        <f t="shared" si="4"/>
        <v>-0.7508991364174303</v>
      </c>
      <c r="AG96" s="3">
        <f t="shared" si="5"/>
        <v>50.18346643643428</v>
      </c>
      <c r="AH96" s="3">
        <f t="shared" si="6"/>
        <v>-1.4586859977890942</v>
      </c>
    </row>
    <row r="97" spans="31:34" ht="12">
      <c r="AE97" s="3">
        <v>94</v>
      </c>
      <c r="AF97" s="3">
        <f t="shared" si="4"/>
        <v>-0.7601450958151806</v>
      </c>
      <c r="AG97" s="3">
        <f t="shared" si="5"/>
        <v>50.72307360241744</v>
      </c>
      <c r="AH97" s="3">
        <f t="shared" si="6"/>
        <v>-1.4766470671997898</v>
      </c>
    </row>
    <row r="98" spans="31:34" ht="12">
      <c r="AE98" s="3">
        <v>95</v>
      </c>
      <c r="AF98" s="3">
        <f t="shared" si="4"/>
        <v>-0.7697438928781926</v>
      </c>
      <c r="AG98" s="3">
        <f t="shared" si="5"/>
        <v>51.26268076840061</v>
      </c>
      <c r="AH98" s="3">
        <f t="shared" si="6"/>
        <v>-1.4952935540478596</v>
      </c>
    </row>
    <row r="99" spans="31:34" ht="12">
      <c r="AE99" s="3">
        <v>96</v>
      </c>
      <c r="AF99" s="3">
        <f t="shared" si="4"/>
        <v>-0.7796955276064661</v>
      </c>
      <c r="AG99" s="3">
        <f t="shared" si="5"/>
        <v>51.80228793438377</v>
      </c>
      <c r="AH99" s="3">
        <f t="shared" si="6"/>
        <v>-1.5146254583333034</v>
      </c>
    </row>
    <row r="100" spans="31:34" ht="12">
      <c r="AE100" s="3">
        <v>97</v>
      </c>
      <c r="AF100" s="3">
        <f t="shared" si="4"/>
        <v>-0.7900000000000013</v>
      </c>
      <c r="AG100" s="3">
        <f t="shared" si="5"/>
        <v>52.34189510036693</v>
      </c>
      <c r="AH100" s="3">
        <f t="shared" si="6"/>
        <v>-1.5346427800561215</v>
      </c>
    </row>
    <row r="101" spans="31:34" ht="12">
      <c r="AE101" s="3">
        <v>98</v>
      </c>
      <c r="AF101" s="3">
        <f t="shared" si="4"/>
        <v>-0.8006573100587978</v>
      </c>
      <c r="AG101" s="3">
        <f t="shared" si="5"/>
        <v>52.8815022663501</v>
      </c>
      <c r="AH101" s="3">
        <f t="shared" si="6"/>
        <v>-1.5553455192163135</v>
      </c>
    </row>
    <row r="102" spans="31:34" ht="12">
      <c r="AE102" s="3">
        <v>99</v>
      </c>
      <c r="AF102" s="3">
        <f t="shared" si="4"/>
        <v>-0.8116674577828554</v>
      </c>
      <c r="AG102" s="3">
        <f t="shared" si="5"/>
        <v>53.42110943233326</v>
      </c>
      <c r="AH102" s="3">
        <f t="shared" si="6"/>
        <v>-1.5767336758138784</v>
      </c>
    </row>
    <row r="103" spans="31:34" ht="12">
      <c r="AE103" s="3">
        <v>100</v>
      </c>
      <c r="AF103" s="3">
        <f t="shared" si="4"/>
        <v>-0.8230304431721749</v>
      </c>
      <c r="AG103" s="3">
        <f t="shared" si="5"/>
        <v>53.960716598316424</v>
      </c>
      <c r="AH103" s="3">
        <f t="shared" si="6"/>
        <v>-1.5988072498488182</v>
      </c>
    </row>
    <row r="104" spans="31:34" ht="12">
      <c r="AE104" s="3">
        <v>101</v>
      </c>
      <c r="AF104" s="3">
        <f t="shared" si="4"/>
        <v>-0.834746266226756</v>
      </c>
      <c r="AG104" s="3">
        <f t="shared" si="5"/>
        <v>54.500323764299594</v>
      </c>
      <c r="AH104" s="3">
        <f t="shared" si="6"/>
        <v>-1.6215662413211318</v>
      </c>
    </row>
    <row r="105" spans="31:34" ht="12">
      <c r="AE105" s="3">
        <v>102</v>
      </c>
      <c r="AF105" s="3">
        <f t="shared" si="4"/>
        <v>-0.8468149269465987</v>
      </c>
      <c r="AG105" s="3">
        <f t="shared" si="5"/>
        <v>55.03993093028276</v>
      </c>
      <c r="AH105" s="3">
        <f t="shared" si="6"/>
        <v>-1.6450106502308197</v>
      </c>
    </row>
    <row r="106" spans="31:34" ht="12">
      <c r="AE106" s="3">
        <v>103</v>
      </c>
      <c r="AF106" s="3">
        <f t="shared" si="4"/>
        <v>-0.8592364253317026</v>
      </c>
      <c r="AG106" s="3">
        <f t="shared" si="5"/>
        <v>55.57953809626592</v>
      </c>
      <c r="AH106" s="3">
        <f t="shared" si="6"/>
        <v>-1.6691404765778812</v>
      </c>
    </row>
    <row r="107" spans="31:34" ht="12">
      <c r="AE107" s="3">
        <v>104</v>
      </c>
      <c r="AF107" s="3">
        <f t="shared" si="4"/>
        <v>-0.8720107613820683</v>
      </c>
      <c r="AG107" s="3">
        <f t="shared" si="5"/>
        <v>56.119145262249084</v>
      </c>
      <c r="AH107" s="3">
        <f t="shared" si="6"/>
        <v>-1.6939557203623172</v>
      </c>
    </row>
    <row r="108" spans="31:34" ht="12">
      <c r="AE108" s="3">
        <v>105</v>
      </c>
      <c r="AF108" s="3">
        <f t="shared" si="4"/>
        <v>-0.8851379350976956</v>
      </c>
      <c r="AG108" s="3">
        <f t="shared" si="5"/>
        <v>56.65875242823225</v>
      </c>
      <c r="AH108" s="3">
        <f t="shared" si="6"/>
        <v>-1.719456381584127</v>
      </c>
    </row>
    <row r="109" spans="31:34" ht="12">
      <c r="AE109" s="3">
        <v>106</v>
      </c>
      <c r="AF109" s="3">
        <f t="shared" si="4"/>
        <v>-0.8986179464785842</v>
      </c>
      <c r="AG109" s="3">
        <f t="shared" si="5"/>
        <v>57.19835959421541</v>
      </c>
      <c r="AH109" s="3">
        <f t="shared" si="6"/>
        <v>-1.7456424602433105</v>
      </c>
    </row>
    <row r="110" spans="31:34" ht="12">
      <c r="AE110" s="3">
        <v>107</v>
      </c>
      <c r="AF110" s="3">
        <f t="shared" si="4"/>
        <v>-0.9124507955247344</v>
      </c>
      <c r="AG110" s="3">
        <f t="shared" si="5"/>
        <v>57.737966760198574</v>
      </c>
      <c r="AH110" s="3">
        <f t="shared" si="6"/>
        <v>-1.7725139563398682</v>
      </c>
    </row>
    <row r="111" spans="31:34" ht="12">
      <c r="AE111" s="3">
        <v>108</v>
      </c>
      <c r="AF111" s="3">
        <f t="shared" si="4"/>
        <v>-0.9266364822361463</v>
      </c>
      <c r="AG111" s="3">
        <f t="shared" si="5"/>
        <v>58.27757392618174</v>
      </c>
      <c r="AH111" s="3">
        <f t="shared" si="6"/>
        <v>-1.8000708698738004</v>
      </c>
    </row>
    <row r="112" spans="31:34" ht="12">
      <c r="AE112" s="3">
        <v>109</v>
      </c>
      <c r="AF112" s="3">
        <f t="shared" si="4"/>
        <v>-0.9411750066128194</v>
      </c>
      <c r="AG112" s="3">
        <f t="shared" si="5"/>
        <v>58.81718109216491</v>
      </c>
      <c r="AH112" s="3">
        <f t="shared" si="6"/>
        <v>-1.8283132008451057</v>
      </c>
    </row>
    <row r="113" spans="31:34" ht="12">
      <c r="AE113" s="3">
        <v>110</v>
      </c>
      <c r="AF113" s="3">
        <f t="shared" si="4"/>
        <v>-0.9560663686547543</v>
      </c>
      <c r="AG113" s="3">
        <f t="shared" si="5"/>
        <v>59.35678825814807</v>
      </c>
      <c r="AH113" s="3">
        <f t="shared" si="6"/>
        <v>-1.8572409492537856</v>
      </c>
    </row>
    <row r="114" spans="31:34" ht="12">
      <c r="AE114" s="3">
        <v>111</v>
      </c>
      <c r="AF114" s="3">
        <f t="shared" si="4"/>
        <v>-0.9713105683619498</v>
      </c>
      <c r="AG114" s="3">
        <f t="shared" si="5"/>
        <v>59.896395424131235</v>
      </c>
      <c r="AH114" s="3">
        <f t="shared" si="6"/>
        <v>-1.886854115099838</v>
      </c>
    </row>
    <row r="115" spans="31:34" ht="12">
      <c r="AE115" s="3">
        <v>112</v>
      </c>
      <c r="AF115" s="3">
        <f t="shared" si="4"/>
        <v>-0.9869076057344076</v>
      </c>
      <c r="AG115" s="3">
        <f t="shared" si="5"/>
        <v>60.4360025901144</v>
      </c>
      <c r="AH115" s="3">
        <f t="shared" si="6"/>
        <v>-1.9171526983832652</v>
      </c>
    </row>
    <row r="116" spans="31:34" ht="12">
      <c r="AE116" s="3">
        <v>113</v>
      </c>
      <c r="AF116" s="3">
        <f t="shared" si="4"/>
        <v>-1.0028574807721267</v>
      </c>
      <c r="AG116" s="3">
        <f t="shared" si="5"/>
        <v>60.97560975609756</v>
      </c>
      <c r="AH116" s="3">
        <f t="shared" si="6"/>
        <v>-1.9481366991040667</v>
      </c>
    </row>
    <row r="117" spans="31:34" ht="12">
      <c r="AE117" s="3">
        <v>114</v>
      </c>
      <c r="AF117" s="3">
        <f t="shared" si="4"/>
        <v>-1.0191601934751078</v>
      </c>
      <c r="AG117" s="3">
        <f t="shared" si="5"/>
        <v>61.515216922080725</v>
      </c>
      <c r="AH117" s="3">
        <f t="shared" si="6"/>
        <v>-1.979806117262243</v>
      </c>
    </row>
    <row r="118" spans="31:34" ht="12">
      <c r="AE118" s="3">
        <v>115</v>
      </c>
      <c r="AF118" s="3">
        <f t="shared" si="4"/>
        <v>-1.03581574384335</v>
      </c>
      <c r="AG118" s="3">
        <f t="shared" si="5"/>
        <v>62.05482408806389</v>
      </c>
      <c r="AH118" s="3">
        <f t="shared" si="6"/>
        <v>-2.012160952857792</v>
      </c>
    </row>
    <row r="119" spans="31:34" ht="12">
      <c r="AE119" s="3">
        <v>116</v>
      </c>
      <c r="AF119" s="3">
        <f t="shared" si="4"/>
        <v>-1.0528241318768536</v>
      </c>
      <c r="AG119" s="3">
        <f t="shared" si="5"/>
        <v>62.59443125404705</v>
      </c>
      <c r="AH119" s="3">
        <f t="shared" si="6"/>
        <v>-2.0452012058907147</v>
      </c>
    </row>
    <row r="120" spans="31:34" ht="12">
      <c r="AE120" s="3">
        <v>117</v>
      </c>
      <c r="AF120" s="3">
        <f t="shared" si="4"/>
        <v>-1.0701853575756193</v>
      </c>
      <c r="AG120" s="3">
        <f t="shared" si="5"/>
        <v>63.13403842003022</v>
      </c>
      <c r="AH120" s="3">
        <f t="shared" si="6"/>
        <v>-2.078926876361013</v>
      </c>
    </row>
    <row r="121" spans="31:34" ht="12">
      <c r="AE121" s="3">
        <v>118</v>
      </c>
      <c r="AF121" s="3">
        <f t="shared" si="4"/>
        <v>-1.0878994209396462</v>
      </c>
      <c r="AG121" s="3">
        <f t="shared" si="5"/>
        <v>63.673645586013386</v>
      </c>
      <c r="AH121" s="3">
        <f t="shared" si="6"/>
        <v>-2.1133379642686845</v>
      </c>
    </row>
    <row r="122" spans="31:34" ht="12">
      <c r="AE122" s="3">
        <v>119</v>
      </c>
      <c r="AF122" s="3">
        <f t="shared" si="4"/>
        <v>-1.1059663219689344</v>
      </c>
      <c r="AG122" s="3">
        <f t="shared" si="5"/>
        <v>64.21325275199655</v>
      </c>
      <c r="AH122" s="3">
        <f t="shared" si="6"/>
        <v>-2.1484344696137296</v>
      </c>
    </row>
    <row r="123" spans="31:34" ht="12">
      <c r="AE123" s="3">
        <v>120</v>
      </c>
      <c r="AF123" s="3">
        <f t="shared" si="4"/>
        <v>-1.1243860606634846</v>
      </c>
      <c r="AG123" s="3">
        <f t="shared" si="5"/>
        <v>64.7528599179797</v>
      </c>
      <c r="AH123" s="3">
        <f t="shared" si="6"/>
        <v>-2.1842163923961495</v>
      </c>
    </row>
    <row r="124" spans="31:34" ht="12">
      <c r="AE124" s="3">
        <v>121</v>
      </c>
      <c r="AF124" s="3">
        <f t="shared" si="4"/>
        <v>-1.143158637023296</v>
      </c>
      <c r="AG124" s="3">
        <f t="shared" si="5"/>
        <v>65.29246708396288</v>
      </c>
      <c r="AH124" s="3">
        <f t="shared" si="6"/>
        <v>-2.2206837326159428</v>
      </c>
    </row>
    <row r="125" spans="31:34" ht="12">
      <c r="AE125" s="3">
        <v>122</v>
      </c>
      <c r="AF125" s="3">
        <f t="shared" si="4"/>
        <v>-1.1622840510483687</v>
      </c>
      <c r="AG125" s="3">
        <f t="shared" si="5"/>
        <v>65.83207424994605</v>
      </c>
      <c r="AH125" s="3">
        <f t="shared" si="6"/>
        <v>-2.25783649027311</v>
      </c>
    </row>
    <row r="126" spans="31:34" ht="12">
      <c r="AE126" s="3">
        <v>123</v>
      </c>
      <c r="AF126" s="3">
        <f t="shared" si="4"/>
        <v>-1.1817623027387025</v>
      </c>
      <c r="AG126" s="3">
        <f t="shared" si="5"/>
        <v>66.3716814159292</v>
      </c>
      <c r="AH126" s="3">
        <f t="shared" si="6"/>
        <v>-2.29567466536765</v>
      </c>
    </row>
    <row r="127" spans="31:34" ht="12">
      <c r="AE127" s="3">
        <v>124</v>
      </c>
      <c r="AF127" s="3">
        <f t="shared" si="4"/>
        <v>-1.2015933920942985</v>
      </c>
      <c r="AG127" s="3">
        <f t="shared" si="5"/>
        <v>66.91128858191237</v>
      </c>
      <c r="AH127" s="3">
        <f t="shared" si="6"/>
        <v>-2.3341982578995655</v>
      </c>
    </row>
    <row r="128" spans="31:34" ht="12">
      <c r="AE128" s="3">
        <v>125</v>
      </c>
      <c r="AF128" s="3">
        <f t="shared" si="4"/>
        <v>-1.2217773191151564</v>
      </c>
      <c r="AG128" s="3">
        <f t="shared" si="5"/>
        <v>67.45089574789553</v>
      </c>
      <c r="AH128" s="3">
        <f t="shared" si="6"/>
        <v>-2.3734072678688554</v>
      </c>
    </row>
    <row r="129" spans="31:34" ht="12">
      <c r="AE129" s="3">
        <v>126</v>
      </c>
      <c r="AF129" s="3">
        <f t="shared" si="4"/>
        <v>-1.2423140838012752</v>
      </c>
      <c r="AG129" s="3">
        <f t="shared" si="5"/>
        <v>67.9905029138787</v>
      </c>
      <c r="AH129" s="3">
        <f t="shared" si="6"/>
        <v>-2.413301695275518</v>
      </c>
    </row>
    <row r="130" spans="31:34" ht="12">
      <c r="AE130" s="3">
        <v>127</v>
      </c>
      <c r="AF130" s="3">
        <f t="shared" si="4"/>
        <v>-1.2632036861526559</v>
      </c>
      <c r="AG130" s="3">
        <f t="shared" si="5"/>
        <v>68.53011007986186</v>
      </c>
      <c r="AH130" s="3">
        <f t="shared" si="6"/>
        <v>-2.453881540119556</v>
      </c>
    </row>
    <row r="131" spans="31:34" ht="12">
      <c r="AE131" s="3">
        <v>128</v>
      </c>
      <c r="AF131" s="3">
        <f aca="true" t="shared" si="7" ref="AF131:AF194">($B$28*AE131^2+$B$29*AE131+$B$30)/3.6</f>
        <v>-1.2844461261692979</v>
      </c>
      <c r="AG131" s="3">
        <f t="shared" si="5"/>
        <v>69.06971724584503</v>
      </c>
      <c r="AH131" s="3">
        <f t="shared" si="6"/>
        <v>-2.4951468024009675</v>
      </c>
    </row>
    <row r="132" spans="31:34" ht="12">
      <c r="AE132" s="3">
        <v>129</v>
      </c>
      <c r="AF132" s="3">
        <f t="shared" si="7"/>
        <v>-1.3060414038512012</v>
      </c>
      <c r="AG132" s="3">
        <f aca="true" t="shared" si="8" ref="AG132:AG195">AE132/1.8532</f>
        <v>69.6093244118282</v>
      </c>
      <c r="AH132" s="3">
        <f aca="true" t="shared" si="9" ref="AH132:AH195">AF132/1.8532*3600/1000</f>
        <v>-2.537097482119752</v>
      </c>
    </row>
    <row r="133" spans="31:34" ht="12">
      <c r="AE133" s="3">
        <v>130</v>
      </c>
      <c r="AF133" s="3">
        <f t="shared" si="7"/>
        <v>-1.3279895191983664</v>
      </c>
      <c r="AG133" s="3">
        <f t="shared" si="8"/>
        <v>70.14893157781135</v>
      </c>
      <c r="AH133" s="3">
        <f t="shared" si="9"/>
        <v>-2.5797335792759113</v>
      </c>
    </row>
    <row r="134" spans="31:34" ht="12">
      <c r="AE134" s="3">
        <v>131</v>
      </c>
      <c r="AF134" s="3">
        <f t="shared" si="7"/>
        <v>-1.350290472210793</v>
      </c>
      <c r="AG134" s="3">
        <f t="shared" si="8"/>
        <v>70.68853874379452</v>
      </c>
      <c r="AH134" s="3">
        <f t="shared" si="9"/>
        <v>-2.6230550938694446</v>
      </c>
    </row>
    <row r="135" spans="31:34" ht="12">
      <c r="AE135" s="3">
        <v>132</v>
      </c>
      <c r="AF135" s="3">
        <f t="shared" si="7"/>
        <v>-1.3729442628884811</v>
      </c>
      <c r="AG135" s="3">
        <f t="shared" si="8"/>
        <v>71.22814590977768</v>
      </c>
      <c r="AH135" s="3">
        <f t="shared" si="9"/>
        <v>-2.6670620259003517</v>
      </c>
    </row>
    <row r="136" spans="31:34" ht="12">
      <c r="AE136" s="3">
        <v>133</v>
      </c>
      <c r="AF136" s="3">
        <f t="shared" si="7"/>
        <v>-1.3959508912314305</v>
      </c>
      <c r="AG136" s="3">
        <f t="shared" si="8"/>
        <v>71.76775307576085</v>
      </c>
      <c r="AH136" s="3">
        <f t="shared" si="9"/>
        <v>-2.711754375368632</v>
      </c>
    </row>
    <row r="137" spans="31:34" ht="12">
      <c r="AE137" s="3">
        <v>134</v>
      </c>
      <c r="AF137" s="3">
        <f t="shared" si="7"/>
        <v>-1.4193103572396415</v>
      </c>
      <c r="AG137" s="3">
        <f t="shared" si="8"/>
        <v>72.30736024174401</v>
      </c>
      <c r="AH137" s="3">
        <f t="shared" si="9"/>
        <v>-2.7571321422742874</v>
      </c>
    </row>
    <row r="138" spans="31:34" ht="12">
      <c r="AE138" s="3">
        <v>135</v>
      </c>
      <c r="AF138" s="3">
        <f t="shared" si="7"/>
        <v>-1.443022660913114</v>
      </c>
      <c r="AG138" s="3">
        <f t="shared" si="8"/>
        <v>72.84696740772718</v>
      </c>
      <c r="AH138" s="3">
        <f t="shared" si="9"/>
        <v>-2.8031953266173164</v>
      </c>
    </row>
    <row r="139" spans="31:34" ht="12">
      <c r="AE139" s="3">
        <v>136</v>
      </c>
      <c r="AF139" s="3">
        <f t="shared" si="7"/>
        <v>-1.4670878022518483</v>
      </c>
      <c r="AG139" s="3">
        <f t="shared" si="8"/>
        <v>73.38657457371033</v>
      </c>
      <c r="AH139" s="3">
        <f t="shared" si="9"/>
        <v>-2.8499439283977197</v>
      </c>
    </row>
    <row r="140" spans="31:34" ht="12">
      <c r="AE140" s="3">
        <v>137</v>
      </c>
      <c r="AF140" s="3">
        <f t="shared" si="7"/>
        <v>-1.491505781255844</v>
      </c>
      <c r="AG140" s="3">
        <f t="shared" si="8"/>
        <v>73.9261817396935</v>
      </c>
      <c r="AH140" s="3">
        <f t="shared" si="9"/>
        <v>-2.897377947615497</v>
      </c>
    </row>
    <row r="141" spans="31:34" ht="12">
      <c r="AE141" s="3">
        <v>138</v>
      </c>
      <c r="AF141" s="3">
        <f t="shared" si="7"/>
        <v>-1.5162765979251012</v>
      </c>
      <c r="AG141" s="3">
        <f t="shared" si="8"/>
        <v>74.46578890567667</v>
      </c>
      <c r="AH141" s="3">
        <f t="shared" si="9"/>
        <v>-2.945497384270648</v>
      </c>
    </row>
    <row r="142" spans="31:34" ht="12">
      <c r="AE142" s="3">
        <v>139</v>
      </c>
      <c r="AF142" s="3">
        <f t="shared" si="7"/>
        <v>-1.54140025225962</v>
      </c>
      <c r="AG142" s="3">
        <f t="shared" si="8"/>
        <v>75.00539607165983</v>
      </c>
      <c r="AH142" s="3">
        <f t="shared" si="9"/>
        <v>-2.994302238363173</v>
      </c>
    </row>
    <row r="143" spans="31:34" ht="12">
      <c r="AE143" s="3">
        <v>140</v>
      </c>
      <c r="AF143" s="3">
        <f t="shared" si="7"/>
        <v>-1.5668767442594003</v>
      </c>
      <c r="AG143" s="3">
        <f t="shared" si="8"/>
        <v>75.545003237643</v>
      </c>
      <c r="AH143" s="3">
        <f t="shared" si="9"/>
        <v>-3.0437925098930725</v>
      </c>
    </row>
    <row r="144" spans="31:34" ht="12">
      <c r="AE144" s="3">
        <v>141</v>
      </c>
      <c r="AF144" s="3">
        <f t="shared" si="7"/>
        <v>-1.5927060739244419</v>
      </c>
      <c r="AG144" s="3">
        <f t="shared" si="8"/>
        <v>76.08461040362616</v>
      </c>
      <c r="AH144" s="3">
        <f t="shared" si="9"/>
        <v>-3.093968198860345</v>
      </c>
    </row>
    <row r="145" spans="31:34" ht="12">
      <c r="AE145" s="3">
        <v>142</v>
      </c>
      <c r="AF145" s="3">
        <f t="shared" si="7"/>
        <v>-1.6188882412547447</v>
      </c>
      <c r="AG145" s="3">
        <f t="shared" si="8"/>
        <v>76.62421756960933</v>
      </c>
      <c r="AH145" s="3">
        <f t="shared" si="9"/>
        <v>-3.144829305264991</v>
      </c>
    </row>
    <row r="146" spans="31:34" ht="12">
      <c r="AE146" s="3">
        <v>143</v>
      </c>
      <c r="AF146" s="3">
        <f t="shared" si="7"/>
        <v>-1.6454232462503096</v>
      </c>
      <c r="AG146" s="3">
        <f t="shared" si="8"/>
        <v>77.16382473559248</v>
      </c>
      <c r="AH146" s="3">
        <f t="shared" si="9"/>
        <v>-3.196375829107012</v>
      </c>
    </row>
    <row r="147" spans="31:34" ht="12">
      <c r="AE147" s="3">
        <v>144</v>
      </c>
      <c r="AF147" s="3">
        <f t="shared" si="7"/>
        <v>-1.6723110889111363</v>
      </c>
      <c r="AG147" s="3">
        <f t="shared" si="8"/>
        <v>77.70343190157566</v>
      </c>
      <c r="AH147" s="3">
        <f t="shared" si="9"/>
        <v>-3.248607770386408</v>
      </c>
    </row>
    <row r="148" spans="31:34" ht="12">
      <c r="AE148" s="3">
        <v>145</v>
      </c>
      <c r="AF148" s="3">
        <f t="shared" si="7"/>
        <v>-1.699551769237224</v>
      </c>
      <c r="AG148" s="3">
        <f t="shared" si="8"/>
        <v>78.24303906755883</v>
      </c>
      <c r="AH148" s="3">
        <f t="shared" si="9"/>
        <v>-3.3015251291031764</v>
      </c>
    </row>
    <row r="149" spans="31:34" ht="12">
      <c r="AE149" s="3">
        <v>146</v>
      </c>
      <c r="AF149" s="3">
        <f t="shared" si="7"/>
        <v>-1.7271452872285729</v>
      </c>
      <c r="AG149" s="3">
        <f t="shared" si="8"/>
        <v>78.78264623354198</v>
      </c>
      <c r="AH149" s="3">
        <f t="shared" si="9"/>
        <v>-3.3551279052573184</v>
      </c>
    </row>
    <row r="150" spans="31:34" ht="12">
      <c r="AE150" s="3">
        <v>147</v>
      </c>
      <c r="AF150" s="3">
        <f t="shared" si="7"/>
        <v>-1.7550916428851835</v>
      </c>
      <c r="AG150" s="3">
        <f t="shared" si="8"/>
        <v>79.32225339952515</v>
      </c>
      <c r="AH150" s="3">
        <f t="shared" si="9"/>
        <v>-3.4094160988488347</v>
      </c>
    </row>
    <row r="151" spans="31:34" ht="12">
      <c r="AE151" s="3">
        <v>148</v>
      </c>
      <c r="AF151" s="3">
        <f t="shared" si="7"/>
        <v>-1.783390836207056</v>
      </c>
      <c r="AG151" s="3">
        <f t="shared" si="8"/>
        <v>79.86186056550831</v>
      </c>
      <c r="AH151" s="3">
        <f t="shared" si="9"/>
        <v>-3.464389709877726</v>
      </c>
    </row>
    <row r="152" spans="31:34" ht="12">
      <c r="AE152" s="3">
        <v>149</v>
      </c>
      <c r="AF152" s="3">
        <f t="shared" si="7"/>
        <v>-1.8120428671941902</v>
      </c>
      <c r="AG152" s="3">
        <f t="shared" si="8"/>
        <v>80.40146773149148</v>
      </c>
      <c r="AH152" s="3">
        <f t="shared" si="9"/>
        <v>-3.5200487383439913</v>
      </c>
    </row>
    <row r="153" spans="31:34" ht="12">
      <c r="AE153" s="3">
        <v>150</v>
      </c>
      <c r="AF153" s="3">
        <f t="shared" si="7"/>
        <v>-1.8410477358465855</v>
      </c>
      <c r="AG153" s="3">
        <f t="shared" si="8"/>
        <v>80.94107489747464</v>
      </c>
      <c r="AH153" s="3">
        <f t="shared" si="9"/>
        <v>-3.57639318424763</v>
      </c>
    </row>
    <row r="154" spans="31:34" ht="12">
      <c r="AE154" s="3">
        <v>151</v>
      </c>
      <c r="AF154" s="3">
        <f t="shared" si="7"/>
        <v>-1.8704054421642422</v>
      </c>
      <c r="AG154" s="3">
        <f t="shared" si="8"/>
        <v>81.4806820634578</v>
      </c>
      <c r="AH154" s="3">
        <f t="shared" si="9"/>
        <v>-3.633423047588642</v>
      </c>
    </row>
    <row r="155" spans="31:34" ht="12">
      <c r="AE155" s="3">
        <v>152</v>
      </c>
      <c r="AF155" s="3">
        <f t="shared" si="7"/>
        <v>-1.9001159861471606</v>
      </c>
      <c r="AG155" s="3">
        <f t="shared" si="8"/>
        <v>82.02028922944096</v>
      </c>
      <c r="AH155" s="3">
        <f t="shared" si="9"/>
        <v>-3.6911383283670287</v>
      </c>
    </row>
    <row r="156" spans="31:34" ht="12">
      <c r="AE156" s="3">
        <v>153</v>
      </c>
      <c r="AF156" s="3">
        <f t="shared" si="7"/>
        <v>-1.9301793677953405</v>
      </c>
      <c r="AG156" s="3">
        <f t="shared" si="8"/>
        <v>82.55989639542413</v>
      </c>
      <c r="AH156" s="3">
        <f t="shared" si="9"/>
        <v>-3.7495390265827897</v>
      </c>
    </row>
    <row r="157" spans="31:34" ht="12">
      <c r="AE157" s="3">
        <v>154</v>
      </c>
      <c r="AF157" s="3">
        <f t="shared" si="7"/>
        <v>-1.960595587108782</v>
      </c>
      <c r="AG157" s="3">
        <f t="shared" si="8"/>
        <v>83.0995035614073</v>
      </c>
      <c r="AH157" s="3">
        <f t="shared" si="9"/>
        <v>-3.808625142235924</v>
      </c>
    </row>
    <row r="158" spans="31:34" ht="12">
      <c r="AE158" s="3">
        <v>155</v>
      </c>
      <c r="AF158" s="3">
        <f t="shared" si="7"/>
        <v>-1.991364644087485</v>
      </c>
      <c r="AG158" s="3">
        <f t="shared" si="8"/>
        <v>83.63911072739046</v>
      </c>
      <c r="AH158" s="3">
        <f t="shared" si="9"/>
        <v>-3.8683966753264336</v>
      </c>
    </row>
    <row r="159" spans="31:34" ht="12">
      <c r="AE159" s="3">
        <v>156</v>
      </c>
      <c r="AF159" s="3">
        <f t="shared" si="7"/>
        <v>-2.0224865387314495</v>
      </c>
      <c r="AG159" s="3">
        <f t="shared" si="8"/>
        <v>84.17871789337363</v>
      </c>
      <c r="AH159" s="3">
        <f t="shared" si="9"/>
        <v>-3.9288536258543165</v>
      </c>
    </row>
    <row r="160" spans="31:34" ht="12">
      <c r="AE160" s="3">
        <v>157</v>
      </c>
      <c r="AF160" s="3">
        <f t="shared" si="7"/>
        <v>-2.053961271040676</v>
      </c>
      <c r="AG160" s="3">
        <f t="shared" si="8"/>
        <v>84.71832505935679</v>
      </c>
      <c r="AH160" s="3">
        <f t="shared" si="9"/>
        <v>-3.9899959938195733</v>
      </c>
    </row>
    <row r="161" spans="31:34" ht="12">
      <c r="AE161" s="3">
        <v>158</v>
      </c>
      <c r="AF161" s="3">
        <f t="shared" si="7"/>
        <v>-2.0857888410151624</v>
      </c>
      <c r="AG161" s="3">
        <f t="shared" si="8"/>
        <v>85.25793222533996</v>
      </c>
      <c r="AH161" s="3">
        <f t="shared" si="9"/>
        <v>-4.051823779222202</v>
      </c>
    </row>
    <row r="162" spans="31:34" ht="12">
      <c r="AE162" s="3">
        <v>159</v>
      </c>
      <c r="AF162" s="3">
        <f t="shared" si="7"/>
        <v>-2.1179692486549113</v>
      </c>
      <c r="AG162" s="3">
        <f t="shared" si="8"/>
        <v>85.79753939132311</v>
      </c>
      <c r="AH162" s="3">
        <f t="shared" si="9"/>
        <v>-4.114336982062206</v>
      </c>
    </row>
    <row r="163" spans="31:34" ht="12">
      <c r="AE163" s="3">
        <v>160</v>
      </c>
      <c r="AF163" s="3">
        <f t="shared" si="7"/>
        <v>-2.150502493959922</v>
      </c>
      <c r="AG163" s="3">
        <f t="shared" si="8"/>
        <v>86.33714655730628</v>
      </c>
      <c r="AH163" s="3">
        <f t="shared" si="9"/>
        <v>-4.177535602339586</v>
      </c>
    </row>
    <row r="164" spans="31:34" ht="12">
      <c r="AE164" s="3">
        <v>161</v>
      </c>
      <c r="AF164" s="3">
        <f t="shared" si="7"/>
        <v>-2.183388576930194</v>
      </c>
      <c r="AG164" s="3">
        <f t="shared" si="8"/>
        <v>86.87675372328945</v>
      </c>
      <c r="AH164" s="3">
        <f t="shared" si="9"/>
        <v>-4.241419640054338</v>
      </c>
    </row>
    <row r="165" spans="31:34" ht="12">
      <c r="AE165" s="3">
        <v>162</v>
      </c>
      <c r="AF165" s="3">
        <f t="shared" si="7"/>
        <v>-2.2166274975657276</v>
      </c>
      <c r="AG165" s="3">
        <f t="shared" si="8"/>
        <v>87.41636088927261</v>
      </c>
      <c r="AH165" s="3">
        <f t="shared" si="9"/>
        <v>-4.305989095206464</v>
      </c>
    </row>
    <row r="166" spans="31:34" ht="12">
      <c r="AE166" s="3">
        <v>163</v>
      </c>
      <c r="AF166" s="3">
        <f t="shared" si="7"/>
        <v>-2.250219255866523</v>
      </c>
      <c r="AG166" s="3">
        <f t="shared" si="8"/>
        <v>87.95596805525578</v>
      </c>
      <c r="AH166" s="3">
        <f t="shared" si="9"/>
        <v>-4.371243967795966</v>
      </c>
    </row>
    <row r="167" spans="31:34" ht="12">
      <c r="AE167" s="3">
        <v>164</v>
      </c>
      <c r="AF167" s="3">
        <f t="shared" si="7"/>
        <v>-2.2841638518325795</v>
      </c>
      <c r="AG167" s="3">
        <f t="shared" si="8"/>
        <v>88.49557522123894</v>
      </c>
      <c r="AH167" s="3">
        <f t="shared" si="9"/>
        <v>-4.43718425782284</v>
      </c>
    </row>
    <row r="168" spans="31:34" ht="12">
      <c r="AE168" s="3">
        <v>165</v>
      </c>
      <c r="AF168" s="3">
        <f t="shared" si="7"/>
        <v>-2.3184612854638975</v>
      </c>
      <c r="AG168" s="3">
        <f t="shared" si="8"/>
        <v>89.03518238722211</v>
      </c>
      <c r="AH168" s="3">
        <f t="shared" si="9"/>
        <v>-4.503809965287088</v>
      </c>
    </row>
    <row r="169" spans="31:34" ht="12">
      <c r="AE169" s="3">
        <v>166</v>
      </c>
      <c r="AF169" s="3">
        <f t="shared" si="7"/>
        <v>-2.353111556760478</v>
      </c>
      <c r="AG169" s="3">
        <f t="shared" si="8"/>
        <v>89.57478955320526</v>
      </c>
      <c r="AH169" s="3">
        <f t="shared" si="9"/>
        <v>-4.571121090188711</v>
      </c>
    </row>
    <row r="170" spans="31:34" ht="12">
      <c r="AE170" s="3">
        <v>167</v>
      </c>
      <c r="AF170" s="3">
        <f t="shared" si="7"/>
        <v>-2.3881146657223185</v>
      </c>
      <c r="AG170" s="3">
        <f t="shared" si="8"/>
        <v>90.11439671918843</v>
      </c>
      <c r="AH170" s="3">
        <f t="shared" si="9"/>
        <v>-4.639117632527706</v>
      </c>
    </row>
    <row r="171" spans="31:34" ht="12">
      <c r="AE171" s="3">
        <v>168</v>
      </c>
      <c r="AF171" s="3">
        <f t="shared" si="7"/>
        <v>-2.4234706123494214</v>
      </c>
      <c r="AG171" s="3">
        <f t="shared" si="8"/>
        <v>90.65400388517159</v>
      </c>
      <c r="AH171" s="3">
        <f t="shared" si="9"/>
        <v>-4.707799592304078</v>
      </c>
    </row>
    <row r="172" spans="31:34" ht="12">
      <c r="AE172" s="3">
        <v>169</v>
      </c>
      <c r="AF172" s="3">
        <f t="shared" si="7"/>
        <v>-2.4591793966417854</v>
      </c>
      <c r="AG172" s="3">
        <f t="shared" si="8"/>
        <v>91.19361105115476</v>
      </c>
      <c r="AH172" s="3">
        <f t="shared" si="9"/>
        <v>-4.777166969517822</v>
      </c>
    </row>
    <row r="173" spans="31:34" ht="12">
      <c r="AE173" s="3">
        <v>170</v>
      </c>
      <c r="AF173" s="3">
        <f t="shared" si="7"/>
        <v>-2.495241018599411</v>
      </c>
      <c r="AG173" s="3">
        <f t="shared" si="8"/>
        <v>91.73321821713793</v>
      </c>
      <c r="AH173" s="3">
        <f t="shared" si="9"/>
        <v>-4.84721976416894</v>
      </c>
    </row>
    <row r="174" spans="31:34" ht="12">
      <c r="AE174" s="3">
        <v>171</v>
      </c>
      <c r="AF174" s="3">
        <f t="shared" si="7"/>
        <v>-2.5316554782222984</v>
      </c>
      <c r="AG174" s="3">
        <f t="shared" si="8"/>
        <v>92.27282538312109</v>
      </c>
      <c r="AH174" s="3">
        <f t="shared" si="9"/>
        <v>-4.9179579762574335</v>
      </c>
    </row>
    <row r="175" spans="31:34" ht="12">
      <c r="AE175" s="3">
        <v>172</v>
      </c>
      <c r="AF175" s="3">
        <f t="shared" si="7"/>
        <v>-2.5684227755104465</v>
      </c>
      <c r="AG175" s="3">
        <f t="shared" si="8"/>
        <v>92.81243254910426</v>
      </c>
      <c r="AH175" s="3">
        <f t="shared" si="9"/>
        <v>-4.989381605783298</v>
      </c>
    </row>
    <row r="176" spans="31:34" ht="12">
      <c r="AE176" s="3">
        <v>173</v>
      </c>
      <c r="AF176" s="3">
        <f t="shared" si="7"/>
        <v>-2.6055429104638574</v>
      </c>
      <c r="AG176" s="3">
        <f t="shared" si="8"/>
        <v>93.35203971508741</v>
      </c>
      <c r="AH176" s="3">
        <f t="shared" si="9"/>
        <v>-5.06149065274654</v>
      </c>
    </row>
    <row r="177" spans="31:34" ht="12">
      <c r="AE177" s="3">
        <v>174</v>
      </c>
      <c r="AF177" s="3">
        <f t="shared" si="7"/>
        <v>-2.6430158830825285</v>
      </c>
      <c r="AG177" s="3">
        <f t="shared" si="8"/>
        <v>93.89164688107059</v>
      </c>
      <c r="AH177" s="3">
        <f t="shared" si="9"/>
        <v>-5.134285117147153</v>
      </c>
    </row>
    <row r="178" spans="31:34" ht="12">
      <c r="AE178" s="3">
        <v>175</v>
      </c>
      <c r="AF178" s="3">
        <f t="shared" si="7"/>
        <v>-2.680841693366462</v>
      </c>
      <c r="AG178" s="3">
        <f t="shared" si="8"/>
        <v>94.43125404705374</v>
      </c>
      <c r="AH178" s="3">
        <f t="shared" si="9"/>
        <v>-5.207764998985142</v>
      </c>
    </row>
    <row r="179" spans="31:34" ht="12">
      <c r="AE179" s="3">
        <v>176</v>
      </c>
      <c r="AF179" s="3">
        <f t="shared" si="7"/>
        <v>-2.7190203413156566</v>
      </c>
      <c r="AG179" s="3">
        <f t="shared" si="8"/>
        <v>94.97086121303691</v>
      </c>
      <c r="AH179" s="3">
        <f t="shared" si="9"/>
        <v>-5.281930298260503</v>
      </c>
    </row>
    <row r="180" spans="31:34" ht="12">
      <c r="AE180" s="3">
        <v>177</v>
      </c>
      <c r="AF180" s="3">
        <f t="shared" si="7"/>
        <v>-2.757551826930113</v>
      </c>
      <c r="AG180" s="3">
        <f t="shared" si="8"/>
        <v>95.51046837902008</v>
      </c>
      <c r="AH180" s="3">
        <f t="shared" si="9"/>
        <v>-5.356781014973239</v>
      </c>
    </row>
    <row r="181" spans="31:34" ht="12">
      <c r="AE181" s="3">
        <v>178</v>
      </c>
      <c r="AF181" s="3">
        <f t="shared" si="7"/>
        <v>-2.7964361502098316</v>
      </c>
      <c r="AG181" s="3">
        <f t="shared" si="8"/>
        <v>96.05007554500324</v>
      </c>
      <c r="AH181" s="3">
        <f t="shared" si="9"/>
        <v>-5.43231714912335</v>
      </c>
    </row>
    <row r="182" spans="31:34" ht="12">
      <c r="AE182" s="3">
        <v>179</v>
      </c>
      <c r="AF182" s="3">
        <f t="shared" si="7"/>
        <v>-2.8356733111548107</v>
      </c>
      <c r="AG182" s="3">
        <f t="shared" si="8"/>
        <v>96.58968271098641</v>
      </c>
      <c r="AH182" s="3">
        <f t="shared" si="9"/>
        <v>-5.508538700710835</v>
      </c>
    </row>
    <row r="183" spans="31:34" ht="12">
      <c r="AE183" s="3">
        <v>180</v>
      </c>
      <c r="AF183" s="3">
        <f t="shared" si="7"/>
        <v>-2.8752633097650517</v>
      </c>
      <c r="AG183" s="3">
        <f t="shared" si="8"/>
        <v>97.12928987696957</v>
      </c>
      <c r="AH183" s="3">
        <f t="shared" si="9"/>
        <v>-5.585445669735693</v>
      </c>
    </row>
    <row r="184" spans="31:34" ht="12">
      <c r="AE184" s="3">
        <v>181</v>
      </c>
      <c r="AF184" s="3">
        <f t="shared" si="7"/>
        <v>-2.9152061460405534</v>
      </c>
      <c r="AG184" s="3">
        <f t="shared" si="8"/>
        <v>97.66889704295274</v>
      </c>
      <c r="AH184" s="3">
        <f t="shared" si="9"/>
        <v>-5.663038056197924</v>
      </c>
    </row>
    <row r="185" spans="31:34" ht="12">
      <c r="AE185" s="3">
        <v>182</v>
      </c>
      <c r="AF185" s="3">
        <f t="shared" si="7"/>
        <v>-2.955501819981317</v>
      </c>
      <c r="AG185" s="3">
        <f t="shared" si="8"/>
        <v>98.20850420893589</v>
      </c>
      <c r="AH185" s="3">
        <f t="shared" si="9"/>
        <v>-5.741315860097529</v>
      </c>
    </row>
    <row r="186" spans="31:34" ht="12">
      <c r="AE186" s="3">
        <v>183</v>
      </c>
      <c r="AF186" s="3">
        <f t="shared" si="7"/>
        <v>-2.9961503315873426</v>
      </c>
      <c r="AG186" s="3">
        <f t="shared" si="8"/>
        <v>98.74811137491906</v>
      </c>
      <c r="AH186" s="3">
        <f t="shared" si="9"/>
        <v>-5.82027908143451</v>
      </c>
    </row>
    <row r="187" spans="31:34" ht="12">
      <c r="AE187" s="3">
        <v>184</v>
      </c>
      <c r="AF187" s="3">
        <f t="shared" si="7"/>
        <v>-3.03715168085863</v>
      </c>
      <c r="AG187" s="3">
        <f t="shared" si="8"/>
        <v>99.28771854090222</v>
      </c>
      <c r="AH187" s="3">
        <f t="shared" si="9"/>
        <v>-5.899927720208865</v>
      </c>
    </row>
    <row r="188" spans="31:34" ht="12">
      <c r="AE188" s="3">
        <v>185</v>
      </c>
      <c r="AF188" s="3">
        <f t="shared" si="7"/>
        <v>-3.078505867795178</v>
      </c>
      <c r="AG188" s="3">
        <f t="shared" si="8"/>
        <v>99.82732570688539</v>
      </c>
      <c r="AH188" s="3">
        <f t="shared" si="9"/>
        <v>-5.980261776420592</v>
      </c>
    </row>
    <row r="189" spans="31:34" ht="12">
      <c r="AE189" s="3">
        <v>186</v>
      </c>
      <c r="AF189" s="3">
        <f t="shared" si="7"/>
        <v>-3.1202128923969887</v>
      </c>
      <c r="AG189" s="3">
        <f t="shared" si="8"/>
        <v>100.36693287286856</v>
      </c>
      <c r="AH189" s="3">
        <f t="shared" si="9"/>
        <v>-6.061281250069696</v>
      </c>
    </row>
    <row r="190" spans="31:34" ht="12">
      <c r="AE190" s="3">
        <v>187</v>
      </c>
      <c r="AF190" s="3">
        <f t="shared" si="7"/>
        <v>-3.1622727546640594</v>
      </c>
      <c r="AG190" s="3">
        <f t="shared" si="8"/>
        <v>100.90654003885172</v>
      </c>
      <c r="AH190" s="3">
        <f t="shared" si="9"/>
        <v>-6.14298614115617</v>
      </c>
    </row>
    <row r="191" spans="31:34" ht="12">
      <c r="AE191" s="3">
        <v>188</v>
      </c>
      <c r="AF191" s="3">
        <f t="shared" si="7"/>
        <v>-3.2046854545963925</v>
      </c>
      <c r="AG191" s="3">
        <f t="shared" si="8"/>
        <v>101.44614720483489</v>
      </c>
      <c r="AH191" s="3">
        <f t="shared" si="9"/>
        <v>-6.225376449680019</v>
      </c>
    </row>
    <row r="192" spans="31:34" ht="12">
      <c r="AE192" s="3">
        <v>189</v>
      </c>
      <c r="AF192" s="3">
        <f t="shared" si="7"/>
        <v>-3.247450992193987</v>
      </c>
      <c r="AG192" s="3">
        <f t="shared" si="8"/>
        <v>101.98575437081804</v>
      </c>
      <c r="AH192" s="3">
        <f t="shared" si="9"/>
        <v>-6.308452175641244</v>
      </c>
    </row>
    <row r="193" spans="31:34" ht="12">
      <c r="AE193" s="3">
        <v>190</v>
      </c>
      <c r="AF193" s="3">
        <f t="shared" si="7"/>
        <v>-3.290569367456843</v>
      </c>
      <c r="AG193" s="3">
        <f t="shared" si="8"/>
        <v>102.52536153680121</v>
      </c>
      <c r="AH193" s="3">
        <f t="shared" si="9"/>
        <v>-6.392213319039842</v>
      </c>
    </row>
    <row r="194" spans="31:34" ht="12">
      <c r="AE194" s="3">
        <v>191</v>
      </c>
      <c r="AF194" s="3">
        <f t="shared" si="7"/>
        <v>-3.3340405803849613</v>
      </c>
      <c r="AG194" s="3">
        <f t="shared" si="8"/>
        <v>103.06496870278437</v>
      </c>
      <c r="AH194" s="3">
        <f t="shared" si="9"/>
        <v>-6.476659879875816</v>
      </c>
    </row>
    <row r="195" spans="31:34" ht="12">
      <c r="AE195" s="3">
        <v>192</v>
      </c>
      <c r="AF195" s="3">
        <f aca="true" t="shared" si="10" ref="AF195:AF253">($B$28*AE195^2+$B$29*AE195+$B$30)/3.6</f>
        <v>-3.3778646309783396</v>
      </c>
      <c r="AG195" s="3">
        <f t="shared" si="8"/>
        <v>103.60457586876754</v>
      </c>
      <c r="AH195" s="3">
        <f t="shared" si="9"/>
        <v>-6.561791858149159</v>
      </c>
    </row>
    <row r="196" spans="31:34" ht="12">
      <c r="AE196" s="3">
        <v>193</v>
      </c>
      <c r="AF196" s="3">
        <f t="shared" si="10"/>
        <v>-3.4220415192369806</v>
      </c>
      <c r="AG196" s="3">
        <f aca="true" t="shared" si="11" ref="AG196:AG253">AE196/1.8532</f>
        <v>104.14418303475071</v>
      </c>
      <c r="AH196" s="3">
        <f aca="true" t="shared" si="12" ref="AH196:AH253">AF196/1.8532*3600/1000</f>
        <v>-6.647609253859881</v>
      </c>
    </row>
    <row r="197" spans="31:34" ht="12">
      <c r="AE197" s="3">
        <v>194</v>
      </c>
      <c r="AF197" s="3">
        <f t="shared" si="10"/>
        <v>-3.4665712451608828</v>
      </c>
      <c r="AG197" s="3">
        <f t="shared" si="11"/>
        <v>104.68379020073387</v>
      </c>
      <c r="AH197" s="3">
        <f t="shared" si="12"/>
        <v>-6.734112067007975</v>
      </c>
    </row>
    <row r="198" spans="31:34" ht="12">
      <c r="AE198" s="3">
        <v>195</v>
      </c>
      <c r="AF198" s="3">
        <f t="shared" si="10"/>
        <v>-3.511453808750047</v>
      </c>
      <c r="AG198" s="3">
        <f t="shared" si="11"/>
        <v>105.22339736671704</v>
      </c>
      <c r="AH198" s="3">
        <f t="shared" si="12"/>
        <v>-6.821300297593443</v>
      </c>
    </row>
    <row r="199" spans="31:34" ht="12">
      <c r="AE199" s="3">
        <v>196</v>
      </c>
      <c r="AF199" s="3">
        <f t="shared" si="10"/>
        <v>-3.5566892100044716</v>
      </c>
      <c r="AG199" s="3">
        <f t="shared" si="11"/>
        <v>105.7630045327002</v>
      </c>
      <c r="AH199" s="3">
        <f t="shared" si="12"/>
        <v>-6.909173945616284</v>
      </c>
    </row>
    <row r="200" spans="31:34" ht="12">
      <c r="AE200" s="3">
        <v>197</v>
      </c>
      <c r="AF200" s="3">
        <f t="shared" si="10"/>
        <v>-3.6022774489241582</v>
      </c>
      <c r="AG200" s="3">
        <f t="shared" si="11"/>
        <v>106.30261169868336</v>
      </c>
      <c r="AH200" s="3">
        <f t="shared" si="12"/>
        <v>-6.997733011076501</v>
      </c>
    </row>
    <row r="201" spans="31:34" ht="12">
      <c r="AE201" s="3">
        <v>198</v>
      </c>
      <c r="AF201" s="3">
        <f t="shared" si="10"/>
        <v>-3.6482185255091055</v>
      </c>
      <c r="AG201" s="3">
        <f t="shared" si="11"/>
        <v>106.84221886466652</v>
      </c>
      <c r="AH201" s="3">
        <f t="shared" si="12"/>
        <v>-7.086977493974088</v>
      </c>
    </row>
    <row r="202" spans="31:34" ht="12">
      <c r="AE202" s="3">
        <v>199</v>
      </c>
      <c r="AF202" s="3">
        <f t="shared" si="10"/>
        <v>-3.6945124397593148</v>
      </c>
      <c r="AG202" s="3">
        <f t="shared" si="11"/>
        <v>107.38182603064969</v>
      </c>
      <c r="AH202" s="3">
        <f t="shared" si="12"/>
        <v>-7.176907394309052</v>
      </c>
    </row>
    <row r="203" spans="31:34" ht="12">
      <c r="AE203" s="3">
        <v>200</v>
      </c>
      <c r="AF203" s="3">
        <f t="shared" si="10"/>
        <v>-3.741159191674786</v>
      </c>
      <c r="AG203" s="3">
        <f t="shared" si="11"/>
        <v>107.92143319663285</v>
      </c>
      <c r="AH203" s="3">
        <f t="shared" si="12"/>
        <v>-7.26752271208139</v>
      </c>
    </row>
    <row r="204" spans="31:34" ht="12">
      <c r="AE204" s="3">
        <v>201</v>
      </c>
      <c r="AF204" s="3">
        <f t="shared" si="10"/>
        <v>-3.788158781255519</v>
      </c>
      <c r="AG204" s="3">
        <f t="shared" si="11"/>
        <v>108.46104036261602</v>
      </c>
      <c r="AH204" s="3">
        <f t="shared" si="12"/>
        <v>-7.358823447291102</v>
      </c>
    </row>
    <row r="205" spans="31:34" ht="12">
      <c r="AE205" s="3">
        <v>202</v>
      </c>
      <c r="AF205" s="3">
        <f t="shared" si="10"/>
        <v>-3.8355112085015133</v>
      </c>
      <c r="AG205" s="3">
        <f t="shared" si="11"/>
        <v>109.00064752859919</v>
      </c>
      <c r="AH205" s="3">
        <f t="shared" si="12"/>
        <v>-7.450809599938187</v>
      </c>
    </row>
    <row r="206" spans="31:34" ht="12">
      <c r="AE206" s="3">
        <v>203</v>
      </c>
      <c r="AF206" s="3">
        <f t="shared" si="10"/>
        <v>-3.883216473412769</v>
      </c>
      <c r="AG206" s="3">
        <f t="shared" si="11"/>
        <v>109.54025469458234</v>
      </c>
      <c r="AH206" s="3">
        <f t="shared" si="12"/>
        <v>-7.543481170022646</v>
      </c>
    </row>
    <row r="207" spans="31:34" ht="12">
      <c r="AE207" s="3">
        <v>204</v>
      </c>
      <c r="AF207" s="3">
        <f t="shared" si="10"/>
        <v>-3.9312745759892866</v>
      </c>
      <c r="AG207" s="3">
        <f t="shared" si="11"/>
        <v>110.07986186056552</v>
      </c>
      <c r="AH207" s="3">
        <f t="shared" si="12"/>
        <v>-7.636838157544481</v>
      </c>
    </row>
    <row r="208" spans="31:34" ht="12">
      <c r="AE208" s="3">
        <v>205</v>
      </c>
      <c r="AF208" s="3">
        <f t="shared" si="10"/>
        <v>-3.979685516231065</v>
      </c>
      <c r="AG208" s="3">
        <f t="shared" si="11"/>
        <v>110.61946902654867</v>
      </c>
      <c r="AH208" s="3">
        <f t="shared" si="12"/>
        <v>-7.730880562503687</v>
      </c>
    </row>
    <row r="209" spans="31:34" ht="12">
      <c r="AE209" s="3">
        <v>206</v>
      </c>
      <c r="AF209" s="3">
        <f t="shared" si="10"/>
        <v>-4.028449294138105</v>
      </c>
      <c r="AG209" s="3">
        <f t="shared" si="11"/>
        <v>111.15907619253184</v>
      </c>
      <c r="AH209" s="3">
        <f t="shared" si="12"/>
        <v>-7.82560838490027</v>
      </c>
    </row>
    <row r="210" spans="31:34" ht="12">
      <c r="AE210" s="3">
        <v>207</v>
      </c>
      <c r="AF210" s="3">
        <f t="shared" si="10"/>
        <v>-4.077565909710407</v>
      </c>
      <c r="AG210" s="3">
        <f t="shared" si="11"/>
        <v>111.698683358515</v>
      </c>
      <c r="AH210" s="3">
        <f t="shared" si="12"/>
        <v>-7.921021624734225</v>
      </c>
    </row>
    <row r="211" spans="31:34" ht="12">
      <c r="AE211" s="3">
        <v>208</v>
      </c>
      <c r="AF211" s="3">
        <f t="shared" si="10"/>
        <v>-4.127035362947971</v>
      </c>
      <c r="AG211" s="3">
        <f t="shared" si="11"/>
        <v>112.23829052449817</v>
      </c>
      <c r="AH211" s="3">
        <f t="shared" si="12"/>
        <v>-8.017120282005555</v>
      </c>
    </row>
    <row r="212" spans="31:34" ht="12">
      <c r="AE212" s="3">
        <v>209</v>
      </c>
      <c r="AF212" s="3">
        <f t="shared" si="10"/>
        <v>-4.176857653850796</v>
      </c>
      <c r="AG212" s="3">
        <f t="shared" si="11"/>
        <v>112.77789769048134</v>
      </c>
      <c r="AH212" s="3">
        <f t="shared" si="12"/>
        <v>-8.11390435671426</v>
      </c>
    </row>
    <row r="213" spans="31:34" ht="12">
      <c r="AE213" s="3">
        <v>210</v>
      </c>
      <c r="AF213" s="3">
        <f t="shared" si="10"/>
        <v>-4.227032782418882</v>
      </c>
      <c r="AG213" s="3">
        <f t="shared" si="11"/>
        <v>113.3175048564645</v>
      </c>
      <c r="AH213" s="3">
        <f t="shared" si="12"/>
        <v>-8.211373848860335</v>
      </c>
    </row>
    <row r="214" spans="31:34" ht="12">
      <c r="AE214" s="3">
        <v>211</v>
      </c>
      <c r="AF214" s="3">
        <f t="shared" si="10"/>
        <v>-4.277560748652229</v>
      </c>
      <c r="AG214" s="3">
        <f t="shared" si="11"/>
        <v>113.85711202244767</v>
      </c>
      <c r="AH214" s="3">
        <f t="shared" si="12"/>
        <v>-8.309528758443786</v>
      </c>
    </row>
    <row r="215" spans="31:34" ht="12">
      <c r="AE215" s="3">
        <v>212</v>
      </c>
      <c r="AF215" s="3">
        <f t="shared" si="10"/>
        <v>-4.3284415525508395</v>
      </c>
      <c r="AG215" s="3">
        <f t="shared" si="11"/>
        <v>114.39671918843082</v>
      </c>
      <c r="AH215" s="3">
        <f t="shared" si="12"/>
        <v>-8.408369085464614</v>
      </c>
    </row>
    <row r="216" spans="31:34" ht="12">
      <c r="AE216" s="3">
        <v>213</v>
      </c>
      <c r="AF216" s="3">
        <f t="shared" si="10"/>
        <v>-4.379675194114711</v>
      </c>
      <c r="AG216" s="3">
        <f t="shared" si="11"/>
        <v>114.93632635441399</v>
      </c>
      <c r="AH216" s="3">
        <f t="shared" si="12"/>
        <v>-8.507894829922813</v>
      </c>
    </row>
    <row r="217" spans="31:34" ht="12">
      <c r="AE217" s="3">
        <v>214</v>
      </c>
      <c r="AF217" s="3">
        <f t="shared" si="10"/>
        <v>-4.431261673343843</v>
      </c>
      <c r="AG217" s="3">
        <f t="shared" si="11"/>
        <v>115.47593352039715</v>
      </c>
      <c r="AH217" s="3">
        <f t="shared" si="12"/>
        <v>-8.608105991818388</v>
      </c>
    </row>
    <row r="218" spans="31:34" ht="12">
      <c r="AE218" s="3">
        <v>215</v>
      </c>
      <c r="AF218" s="3">
        <f t="shared" si="10"/>
        <v>-4.483200990238237</v>
      </c>
      <c r="AG218" s="3">
        <f t="shared" si="11"/>
        <v>116.01554068638032</v>
      </c>
      <c r="AH218" s="3">
        <f t="shared" si="12"/>
        <v>-8.709002571151336</v>
      </c>
    </row>
    <row r="219" spans="31:34" ht="12">
      <c r="AE219" s="3">
        <v>216</v>
      </c>
      <c r="AF219" s="3">
        <f t="shared" si="10"/>
        <v>-4.535493144797893</v>
      </c>
      <c r="AG219" s="3">
        <f t="shared" si="11"/>
        <v>116.55514785236348</v>
      </c>
      <c r="AH219" s="3">
        <f t="shared" si="12"/>
        <v>-8.810584567921657</v>
      </c>
    </row>
    <row r="220" spans="31:34" ht="12">
      <c r="AE220" s="3">
        <v>217</v>
      </c>
      <c r="AF220" s="3">
        <f t="shared" si="10"/>
        <v>-4.588138137022809</v>
      </c>
      <c r="AG220" s="3">
        <f t="shared" si="11"/>
        <v>117.09475501834665</v>
      </c>
      <c r="AH220" s="3">
        <f t="shared" si="12"/>
        <v>-8.91285198212935</v>
      </c>
    </row>
    <row r="221" spans="31:34" ht="12">
      <c r="AE221" s="3">
        <v>218</v>
      </c>
      <c r="AF221" s="3">
        <f t="shared" si="10"/>
        <v>-4.641135966912987</v>
      </c>
      <c r="AG221" s="3">
        <f t="shared" si="11"/>
        <v>117.63436218432982</v>
      </c>
      <c r="AH221" s="3">
        <f t="shared" si="12"/>
        <v>-9.015804813774421</v>
      </c>
    </row>
    <row r="222" spans="31:34" ht="12">
      <c r="AE222" s="3">
        <v>219</v>
      </c>
      <c r="AF222" s="3">
        <f t="shared" si="10"/>
        <v>-4.694486634468428</v>
      </c>
      <c r="AG222" s="3">
        <f t="shared" si="11"/>
        <v>118.17396935031297</v>
      </c>
      <c r="AH222" s="3">
        <f t="shared" si="12"/>
        <v>-9.119443062856865</v>
      </c>
    </row>
    <row r="223" spans="31:34" ht="12">
      <c r="AE223" s="3">
        <v>220</v>
      </c>
      <c r="AF223" s="3">
        <f t="shared" si="10"/>
        <v>-4.748190139689131</v>
      </c>
      <c r="AG223" s="3">
        <f t="shared" si="11"/>
        <v>118.71357651629614</v>
      </c>
      <c r="AH223" s="3">
        <f t="shared" si="12"/>
        <v>-9.223766729376685</v>
      </c>
    </row>
    <row r="224" spans="31:34" ht="12">
      <c r="AE224" s="3">
        <v>221</v>
      </c>
      <c r="AF224" s="3">
        <f t="shared" si="10"/>
        <v>-4.802246482575092</v>
      </c>
      <c r="AG224" s="3">
        <f t="shared" si="11"/>
        <v>119.2531836822793</v>
      </c>
      <c r="AH224" s="3">
        <f t="shared" si="12"/>
        <v>-9.328775813333872</v>
      </c>
    </row>
    <row r="225" spans="31:34" ht="12">
      <c r="AE225" s="3">
        <v>222</v>
      </c>
      <c r="AF225" s="3">
        <f t="shared" si="10"/>
        <v>-4.8566556631263165</v>
      </c>
      <c r="AG225" s="3">
        <f t="shared" si="11"/>
        <v>119.79279084826247</v>
      </c>
      <c r="AH225" s="3">
        <f t="shared" si="12"/>
        <v>-9.434470314728436</v>
      </c>
    </row>
    <row r="226" spans="31:34" ht="12">
      <c r="AE226" s="3">
        <v>223</v>
      </c>
      <c r="AF226" s="3">
        <f t="shared" si="10"/>
        <v>-4.911417681342803</v>
      </c>
      <c r="AG226" s="3">
        <f t="shared" si="11"/>
        <v>120.33239801424563</v>
      </c>
      <c r="AH226" s="3">
        <f t="shared" si="12"/>
        <v>-9.540850233560377</v>
      </c>
    </row>
    <row r="227" spans="31:34" ht="12">
      <c r="AE227" s="3">
        <v>224</v>
      </c>
      <c r="AF227" s="3">
        <f t="shared" si="10"/>
        <v>-4.96653253722455</v>
      </c>
      <c r="AG227" s="3">
        <f t="shared" si="11"/>
        <v>120.8720051802288</v>
      </c>
      <c r="AH227" s="3">
        <f t="shared" si="12"/>
        <v>-9.647915569829689</v>
      </c>
    </row>
    <row r="228" spans="31:34" ht="12">
      <c r="AE228" s="3">
        <v>225</v>
      </c>
      <c r="AF228" s="3">
        <f t="shared" si="10"/>
        <v>-5.022000230771559</v>
      </c>
      <c r="AG228" s="3">
        <f t="shared" si="11"/>
        <v>121.41161234621197</v>
      </c>
      <c r="AH228" s="3">
        <f t="shared" si="12"/>
        <v>-9.755666323536378</v>
      </c>
    </row>
    <row r="229" spans="31:34" ht="12">
      <c r="AE229" s="3">
        <v>226</v>
      </c>
      <c r="AF229" s="3">
        <f t="shared" si="10"/>
        <v>-5.077820761983829</v>
      </c>
      <c r="AG229" s="3">
        <f t="shared" si="11"/>
        <v>121.95121951219512</v>
      </c>
      <c r="AH229" s="3">
        <f t="shared" si="12"/>
        <v>-9.864102494680438</v>
      </c>
    </row>
    <row r="230" spans="31:34" ht="12">
      <c r="AE230" s="3">
        <v>227</v>
      </c>
      <c r="AF230" s="3">
        <f t="shared" si="10"/>
        <v>-5.133994130861363</v>
      </c>
      <c r="AG230" s="3">
        <f t="shared" si="11"/>
        <v>122.4908266781783</v>
      </c>
      <c r="AH230" s="3">
        <f t="shared" si="12"/>
        <v>-9.973224083261876</v>
      </c>
    </row>
    <row r="231" spans="31:34" ht="12">
      <c r="AE231" s="3">
        <v>228</v>
      </c>
      <c r="AF231" s="3">
        <f t="shared" si="10"/>
        <v>-5.1905203374041555</v>
      </c>
      <c r="AG231" s="3">
        <f t="shared" si="11"/>
        <v>123.03043384416145</v>
      </c>
      <c r="AH231" s="3">
        <f t="shared" si="12"/>
        <v>-10.083031089280682</v>
      </c>
    </row>
    <row r="232" spans="31:34" ht="12">
      <c r="AE232" s="3">
        <v>229</v>
      </c>
      <c r="AF232" s="3">
        <f t="shared" si="10"/>
        <v>-5.247399381612211</v>
      </c>
      <c r="AG232" s="3">
        <f t="shared" si="11"/>
        <v>123.57004101014462</v>
      </c>
      <c r="AH232" s="3">
        <f t="shared" si="12"/>
        <v>-10.193523512736865</v>
      </c>
    </row>
    <row r="233" spans="31:34" ht="12">
      <c r="AE233" s="3">
        <v>230</v>
      </c>
      <c r="AF233" s="3">
        <f t="shared" si="10"/>
        <v>-5.304631263485528</v>
      </c>
      <c r="AG233" s="3">
        <f t="shared" si="11"/>
        <v>124.10964817612778</v>
      </c>
      <c r="AH233" s="3">
        <f t="shared" si="12"/>
        <v>-10.304701353630424</v>
      </c>
    </row>
    <row r="234" spans="31:34" ht="12">
      <c r="AE234" s="3">
        <v>231</v>
      </c>
      <c r="AF234" s="3">
        <f t="shared" si="10"/>
        <v>-5.3622159830241065</v>
      </c>
      <c r="AG234" s="3">
        <f t="shared" si="11"/>
        <v>124.64925534211095</v>
      </c>
      <c r="AH234" s="3">
        <f t="shared" si="12"/>
        <v>-10.416564611961356</v>
      </c>
    </row>
    <row r="235" spans="31:34" ht="12">
      <c r="AE235" s="3">
        <v>232</v>
      </c>
      <c r="AF235" s="3">
        <f t="shared" si="10"/>
        <v>-5.420153540227945</v>
      </c>
      <c r="AG235" s="3">
        <f t="shared" si="11"/>
        <v>125.1888625080941</v>
      </c>
      <c r="AH235" s="3">
        <f t="shared" si="12"/>
        <v>-10.52911328772966</v>
      </c>
    </row>
    <row r="236" spans="31:34" ht="12">
      <c r="AE236" s="3">
        <v>233</v>
      </c>
      <c r="AF236" s="3">
        <f t="shared" si="10"/>
        <v>-5.478443935097047</v>
      </c>
      <c r="AG236" s="3">
        <f t="shared" si="11"/>
        <v>125.72846967407727</v>
      </c>
      <c r="AH236" s="3">
        <f t="shared" si="12"/>
        <v>-10.64234738093534</v>
      </c>
    </row>
    <row r="237" spans="31:34" ht="12">
      <c r="AE237" s="3">
        <v>234</v>
      </c>
      <c r="AF237" s="3">
        <f t="shared" si="10"/>
        <v>-5.53708716763141</v>
      </c>
      <c r="AG237" s="3">
        <f t="shared" si="11"/>
        <v>126.26807684006044</v>
      </c>
      <c r="AH237" s="3">
        <f t="shared" si="12"/>
        <v>-10.756266891578392</v>
      </c>
    </row>
    <row r="238" spans="31:34" ht="12">
      <c r="AE238" s="3">
        <v>235</v>
      </c>
      <c r="AF238" s="3">
        <f t="shared" si="10"/>
        <v>-5.596083237831034</v>
      </c>
      <c r="AG238" s="3">
        <f t="shared" si="11"/>
        <v>126.8076840060436</v>
      </c>
      <c r="AH238" s="3">
        <f t="shared" si="12"/>
        <v>-10.870871819658818</v>
      </c>
    </row>
    <row r="239" spans="31:34" ht="12">
      <c r="AE239" s="3">
        <v>236</v>
      </c>
      <c r="AF239" s="3">
        <f t="shared" si="10"/>
        <v>-5.6554321456959205</v>
      </c>
      <c r="AG239" s="3">
        <f t="shared" si="11"/>
        <v>127.34729117202677</v>
      </c>
      <c r="AH239" s="3">
        <f t="shared" si="12"/>
        <v>-10.986162165176621</v>
      </c>
    </row>
    <row r="240" spans="31:34" ht="12">
      <c r="AE240" s="3">
        <v>237</v>
      </c>
      <c r="AF240" s="3">
        <f t="shared" si="10"/>
        <v>-5.715133891226068</v>
      </c>
      <c r="AG240" s="3">
        <f t="shared" si="11"/>
        <v>127.88689833800993</v>
      </c>
      <c r="AH240" s="3">
        <f t="shared" si="12"/>
        <v>-11.102137928131796</v>
      </c>
    </row>
    <row r="241" spans="31:34" ht="12">
      <c r="AE241" s="3">
        <v>238</v>
      </c>
      <c r="AF241" s="3">
        <f t="shared" si="10"/>
        <v>-5.775188474421475</v>
      </c>
      <c r="AG241" s="3">
        <f t="shared" si="11"/>
        <v>128.4265055039931</v>
      </c>
      <c r="AH241" s="3">
        <f t="shared" si="12"/>
        <v>-11.218799108524342</v>
      </c>
    </row>
    <row r="242" spans="31:34" ht="12">
      <c r="AE242" s="3">
        <v>239</v>
      </c>
      <c r="AF242" s="3">
        <f t="shared" si="10"/>
        <v>-5.835595895282148</v>
      </c>
      <c r="AG242" s="3">
        <f t="shared" si="11"/>
        <v>128.96611266997627</v>
      </c>
      <c r="AH242" s="3">
        <f t="shared" si="12"/>
        <v>-11.33614570635427</v>
      </c>
    </row>
    <row r="243" spans="31:34" ht="12">
      <c r="AE243" s="3">
        <v>240</v>
      </c>
      <c r="AF243" s="3">
        <f t="shared" si="10"/>
        <v>-5.896356153808079</v>
      </c>
      <c r="AG243" s="3">
        <f t="shared" si="11"/>
        <v>129.5057198359594</v>
      </c>
      <c r="AH243" s="3">
        <f t="shared" si="12"/>
        <v>-11.454177721621566</v>
      </c>
    </row>
    <row r="244" spans="31:34" ht="12">
      <c r="AE244" s="3">
        <v>241</v>
      </c>
      <c r="AF244" s="3">
        <f t="shared" si="10"/>
        <v>-5.9574692499992725</v>
      </c>
      <c r="AG244" s="3">
        <f t="shared" si="11"/>
        <v>130.04532700194258</v>
      </c>
      <c r="AH244" s="3">
        <f t="shared" si="12"/>
        <v>-11.572895154326238</v>
      </c>
    </row>
    <row r="245" spans="31:34" ht="12">
      <c r="AE245" s="3">
        <v>242</v>
      </c>
      <c r="AF245" s="3">
        <f t="shared" si="10"/>
        <v>-6.018935183855727</v>
      </c>
      <c r="AG245" s="3">
        <f t="shared" si="11"/>
        <v>130.58493416792575</v>
      </c>
      <c r="AH245" s="3">
        <f t="shared" si="12"/>
        <v>-11.692298004468281</v>
      </c>
    </row>
    <row r="246" spans="31:34" ht="12">
      <c r="AE246" s="3">
        <v>243</v>
      </c>
      <c r="AF246" s="3">
        <f t="shared" si="10"/>
        <v>-6.080753955377443</v>
      </c>
      <c r="AG246" s="3">
        <f t="shared" si="11"/>
        <v>131.12454133390892</v>
      </c>
      <c r="AH246" s="3">
        <f t="shared" si="12"/>
        <v>-11.812386272047696</v>
      </c>
    </row>
    <row r="247" spans="31:34" ht="12">
      <c r="AE247" s="3">
        <v>244</v>
      </c>
      <c r="AF247" s="3">
        <f t="shared" si="10"/>
        <v>-6.142925564564421</v>
      </c>
      <c r="AG247" s="3">
        <f t="shared" si="11"/>
        <v>131.6641484998921</v>
      </c>
      <c r="AH247" s="3">
        <f t="shared" si="12"/>
        <v>-11.93315995706449</v>
      </c>
    </row>
    <row r="248" spans="31:34" ht="12">
      <c r="AE248" s="3">
        <v>245</v>
      </c>
      <c r="AF248" s="3">
        <f t="shared" si="10"/>
        <v>-6.205450011416658</v>
      </c>
      <c r="AG248" s="3">
        <f t="shared" si="11"/>
        <v>132.20375566587524</v>
      </c>
      <c r="AH248" s="3">
        <f t="shared" si="12"/>
        <v>-12.054619059518652</v>
      </c>
    </row>
    <row r="249" spans="31:34" ht="12">
      <c r="AE249" s="3">
        <v>246</v>
      </c>
      <c r="AF249" s="3">
        <f t="shared" si="10"/>
        <v>-6.268327295934158</v>
      </c>
      <c r="AG249" s="3">
        <f t="shared" si="11"/>
        <v>132.7433628318584</v>
      </c>
      <c r="AH249" s="3">
        <f t="shared" si="12"/>
        <v>-12.176763579410194</v>
      </c>
    </row>
    <row r="250" spans="31:34" ht="12">
      <c r="AE250" s="3">
        <v>247</v>
      </c>
      <c r="AF250" s="3">
        <f t="shared" si="10"/>
        <v>-6.331557418116923</v>
      </c>
      <c r="AG250" s="3">
        <f t="shared" si="11"/>
        <v>133.28296999784158</v>
      </c>
      <c r="AH250" s="3">
        <f t="shared" si="12"/>
        <v>-12.299593516739112</v>
      </c>
    </row>
    <row r="251" spans="31:34" ht="12">
      <c r="AE251" s="3">
        <v>248</v>
      </c>
      <c r="AF251" s="3">
        <f t="shared" si="10"/>
        <v>-6.395140377964945</v>
      </c>
      <c r="AG251" s="3">
        <f t="shared" si="11"/>
        <v>133.82257716382475</v>
      </c>
      <c r="AH251" s="3">
        <f t="shared" si="12"/>
        <v>-12.423108871505397</v>
      </c>
    </row>
    <row r="252" spans="31:34" ht="12">
      <c r="AE252" s="3">
        <v>249</v>
      </c>
      <c r="AF252" s="3">
        <f t="shared" si="10"/>
        <v>-6.4590761754782315</v>
      </c>
      <c r="AG252" s="3">
        <f t="shared" si="11"/>
        <v>134.36218432980792</v>
      </c>
      <c r="AH252" s="3">
        <f t="shared" si="12"/>
        <v>-12.547309643709063</v>
      </c>
    </row>
    <row r="253" spans="31:34" ht="12">
      <c r="AE253" s="3">
        <v>250</v>
      </c>
      <c r="AF253" s="3">
        <f t="shared" si="10"/>
        <v>-6.52336481065678</v>
      </c>
      <c r="AG253" s="3">
        <f t="shared" si="11"/>
        <v>134.90179149579106</v>
      </c>
      <c r="AH253" s="3">
        <f t="shared" si="12"/>
        <v>-12.6721958333501</v>
      </c>
    </row>
  </sheetData>
  <sheetProtection/>
  <printOptions/>
  <pageMargins left="0.75" right="0.75" top="1" bottom="1" header="0.5" footer="0.5"/>
  <pageSetup horizontalDpi="300" verticalDpi="300" orientation="portrait" r:id="rId2"/>
  <ignoredErrors>
    <ignoredError sqref="B42 B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Cumulus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Remde</dc:creator>
  <cp:keywords/>
  <dc:description/>
  <cp:lastModifiedBy>Paul Remde</cp:lastModifiedBy>
  <cp:lastPrinted>2009-07-10T22:08:16Z</cp:lastPrinted>
  <dcterms:created xsi:type="dcterms:W3CDTF">2005-08-04T21:56:18Z</dcterms:created>
  <dcterms:modified xsi:type="dcterms:W3CDTF">2017-02-05T04:24:09Z</dcterms:modified>
  <cp:category/>
  <cp:version/>
  <cp:contentType/>
  <cp:contentStatus/>
</cp:coreProperties>
</file>