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'Sheet1'!$A$1:$L$38</definedName>
    <definedName name="Turnpoints">'Sheet1'!#REF!</definedName>
  </definedNames>
  <calcPr fullCalcOnLoad="1"/>
</workbook>
</file>

<file path=xl/sharedStrings.xml><?xml version="1.0" encoding="utf-8"?>
<sst xmlns="http://schemas.openxmlformats.org/spreadsheetml/2006/main" count="79" uniqueCount="48">
  <si>
    <t>N</t>
  </si>
  <si>
    <t>W</t>
  </si>
  <si>
    <t>km</t>
  </si>
  <si>
    <t>True Brg</t>
  </si>
  <si>
    <t>Enter</t>
  </si>
  <si>
    <t>Results</t>
  </si>
  <si>
    <t>Start Point Latitude</t>
  </si>
  <si>
    <t>Start Point Longitude</t>
  </si>
  <si>
    <t>Start Point Lat. and Long.</t>
  </si>
  <si>
    <t>MN Outline</t>
  </si>
  <si>
    <t>Lat</t>
  </si>
  <si>
    <t>Long</t>
  </si>
  <si>
    <t>Faribault</t>
  </si>
  <si>
    <t>Stanton</t>
  </si>
  <si>
    <t>Task Distance</t>
  </si>
  <si>
    <t>First Turnpoint Latitude</t>
  </si>
  <si>
    <t>First Turnpoint Longitude</t>
  </si>
  <si>
    <t>Starting Point Coordinates</t>
  </si>
  <si>
    <t>First Turnpoint Lat. and Long.</t>
  </si>
  <si>
    <t>Second Turnpoint Lat. and Long.</t>
  </si>
  <si>
    <t>Finish Point Lat. and Long.</t>
  </si>
  <si>
    <t>Second Turnpoint Latitude</t>
  </si>
  <si>
    <t>Second Turnpoint Longitude</t>
  </si>
  <si>
    <t>by Paul Remde</t>
  </si>
  <si>
    <t>mi</t>
  </si>
  <si>
    <t>Percent of Task on 1st leg (28% - 44%)</t>
  </si>
  <si>
    <t>Percent of Task on 3rd leg</t>
  </si>
  <si>
    <t>Length of 1st Leg</t>
  </si>
  <si>
    <t>Length of 2nd Leg</t>
  </si>
  <si>
    <t>Length of 3rd Leg</t>
  </si>
  <si>
    <t>Bearing from start point to 1st turnpoint</t>
  </si>
  <si>
    <t>Turn left or right around turnpoints (L or R)</t>
  </si>
  <si>
    <t>Bearing from start point to 2nd turnpoint</t>
  </si>
  <si>
    <t>radians</t>
  </si>
  <si>
    <t>Angle between legs 1 and 3</t>
  </si>
  <si>
    <t>Angle between legs 1 and 2</t>
  </si>
  <si>
    <t>Angle between legs 2 and 3</t>
  </si>
  <si>
    <t>Sum of Angles</t>
  </si>
  <si>
    <t>Calculated Triangle Turnpoints</t>
  </si>
  <si>
    <t>R</t>
  </si>
  <si>
    <t>Enter values into yellow cells.</t>
  </si>
  <si>
    <t xml:space="preserve">Results are in light blue cells. </t>
  </si>
  <si>
    <t>Bearing from 1st turnpoint to 2nd turnpoint</t>
  </si>
  <si>
    <t>Bearing from 2nd turnpoint to start point</t>
  </si>
  <si>
    <t>Degrees</t>
  </si>
  <si>
    <t>Minutes</t>
  </si>
  <si>
    <t>Seconds</t>
  </si>
  <si>
    <t>Modified: 3/24/00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</si>
</sst>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"/>
    <numFmt numFmtId="165" formatCode="0.000\'"/>
    <numFmt numFmtId="166" formatCode="0\'"/>
    <numFmt numFmtId="167" formatCode="0.0"/>
    <numFmt numFmtId="168" formatCode="0.000"/>
    <numFmt numFmtId="169" formatCode="0.0%"/>
    <numFmt numFmtId="170" formatCode="0.0000000"/>
    <numFmt numFmtId="171" formatCode="0.000000"/>
    <numFmt numFmtId="172" formatCode="0.00000"/>
    <numFmt numFmtId="173" formatCode="0.0000"/>
    <numFmt numFmtId="174" formatCode="0.0\°"/>
    <numFmt numFmtId="175" formatCode="0.00\°"/>
    <numFmt numFmtId="176" formatCode="0.000\°"/>
    <numFmt numFmtId="177" formatCode="0.0000\°"/>
    <numFmt numFmtId="178" formatCode="0.00000\°"/>
    <numFmt numFmtId="179" formatCode="0.000000\°"/>
    <numFmt numFmtId="180" formatCode="0.0000000\°"/>
    <numFmt numFmtId="181" formatCode="0.00000000\°"/>
    <numFmt numFmtId="182" formatCode="0.000\&quot;"/>
    <numFmt numFmtId="183" formatCode="0.000000000\°"/>
    <numFmt numFmtId="184" formatCode="0.0000000000\°"/>
    <numFmt numFmtId="185" formatCode="0.00000000000\°"/>
    <numFmt numFmtId="186" formatCode="0.#######\°"/>
    <numFmt numFmtId="187" formatCode="##.#######\°"/>
    <numFmt numFmtId="188" formatCode="##.###\'"/>
    <numFmt numFmtId="189" formatCode="##.###\&quot;"/>
    <numFmt numFmtId="190" formatCode="##.####\&quot;"/>
    <numFmt numFmtId="191" formatCode="#0.###\'"/>
    <numFmt numFmtId="192" formatCode="00.###\'"/>
    <numFmt numFmtId="193" formatCode="000.#######\°"/>
    <numFmt numFmtId="194" formatCode="00.###\&quot;"/>
    <numFmt numFmtId="195" formatCode="#0.###\&quot;"/>
    <numFmt numFmtId="196" formatCode="0.000000000000"/>
    <numFmt numFmtId="197" formatCode="###.0#"/>
    <numFmt numFmtId="198" formatCode="000\°"/>
    <numFmt numFmtId="199" formatCode="00\%"/>
    <numFmt numFmtId="200" formatCode="00.0\ \%"/>
    <numFmt numFmtId="201" formatCode="General\'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175" fontId="0" fillId="0" borderId="2" xfId="0" applyNumberFormat="1" applyFont="1" applyBorder="1" applyAlignment="1" applyProtection="1">
      <alignment horizontal="center"/>
      <protection hidden="1"/>
    </xf>
    <xf numFmtId="175" fontId="0" fillId="0" borderId="3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95" fontId="0" fillId="0" borderId="3" xfId="0" applyNumberFormat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/>
      <protection hidden="1"/>
    </xf>
    <xf numFmtId="175" fontId="0" fillId="0" borderId="1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 quotePrefix="1">
      <alignment horizontal="right"/>
    </xf>
    <xf numFmtId="0" fontId="4" fillId="0" borderId="1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8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87" fontId="1" fillId="3" borderId="1" xfId="0" applyNumberFormat="1" applyFont="1" applyFill="1" applyBorder="1" applyAlignment="1">
      <alignment horizontal="center"/>
    </xf>
    <xf numFmtId="20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 horizontal="center"/>
    </xf>
    <xf numFmtId="20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91" fontId="1" fillId="3" borderId="1" xfId="0" applyNumberFormat="1" applyFont="1" applyFill="1" applyBorder="1" applyAlignment="1">
      <alignment horizontal="center"/>
    </xf>
    <xf numFmtId="195" fontId="1" fillId="3" borderId="1" xfId="0" applyNumberFormat="1" applyFont="1" applyFill="1" applyBorder="1" applyAlignment="1">
      <alignment horizontal="center"/>
    </xf>
    <xf numFmtId="191" fontId="1" fillId="3" borderId="3" xfId="0" applyNumberFormat="1" applyFont="1" applyFill="1" applyBorder="1" applyAlignment="1">
      <alignment horizontal="center"/>
    </xf>
    <xf numFmtId="195" fontId="1" fillId="3" borderId="3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91" fontId="1" fillId="2" borderId="1" xfId="0" applyNumberFormat="1" applyFont="1" applyFill="1" applyBorder="1" applyAlignment="1">
      <alignment horizontal="center"/>
    </xf>
    <xf numFmtId="195" fontId="1" fillId="2" borderId="1" xfId="0" applyNumberFormat="1" applyFont="1" applyFill="1" applyBorder="1" applyAlignment="1">
      <alignment horizontal="center"/>
    </xf>
    <xf numFmtId="191" fontId="1" fillId="2" borderId="3" xfId="0" applyNumberFormat="1" applyFont="1" applyFill="1" applyBorder="1" applyAlignment="1">
      <alignment horizontal="center"/>
    </xf>
    <xf numFmtId="195" fontId="1" fillId="2" borderId="3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right"/>
    </xf>
    <xf numFmtId="169" fontId="1" fillId="2" borderId="3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164" fontId="1" fillId="0" borderId="2" xfId="0" applyNumberFormat="1" applyFont="1" applyBorder="1" applyAlignment="1">
      <alignment horizontal="right"/>
    </xf>
    <xf numFmtId="173" fontId="0" fillId="0" borderId="0" xfId="0" applyNumberFormat="1" applyAlignment="1">
      <alignment horizontal="center"/>
    </xf>
    <xf numFmtId="164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2"/>
          <c:w val="0.8817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v>MN Outline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Sheet1!$B$44:$B$61</c:f>
              <c:numCache/>
            </c:numRef>
          </c:xVal>
          <c:yVal>
            <c:numRef>
              <c:f>Sheet1!$A$44:$A$61</c:f>
              <c:numCache/>
            </c:numRef>
          </c:yVal>
          <c:smooth val="0"/>
        </c:ser>
        <c:ser>
          <c:idx val="1"/>
          <c:order val="1"/>
          <c:tx>
            <c:v>Task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800080"/>
                </a:solidFill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Sheet1!$D$25:$D$28</c:f>
              <c:numCache/>
            </c:numRef>
          </c:xVal>
          <c:yVal>
            <c:numRef>
              <c:f>Sheet1!$C$25:$C$28</c:f>
              <c:numCache/>
            </c:numRef>
          </c:yVal>
          <c:smooth val="0"/>
        </c:ser>
        <c:axId val="27387302"/>
        <c:axId val="45159127"/>
      </c:scatterChart>
      <c:valAx>
        <c:axId val="2738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59127"/>
        <c:crosses val="max"/>
        <c:crossBetween val="midCat"/>
        <c:dispUnits/>
        <c:majorUnit val="1"/>
      </c:valAx>
      <c:valAx>
        <c:axId val="45159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27387302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0</xdr:rowOff>
    </xdr:from>
    <xdr:to>
      <xdr:col>11</xdr:col>
      <xdr:colOff>371475</xdr:colOff>
      <xdr:row>24</xdr:row>
      <xdr:rowOff>57150</xdr:rowOff>
    </xdr:to>
    <xdr:graphicFrame>
      <xdr:nvGraphicFramePr>
        <xdr:cNvPr id="1" name="Chart 7"/>
        <xdr:cNvGraphicFramePr/>
      </xdr:nvGraphicFramePr>
      <xdr:xfrm>
        <a:off x="5514975" y="876300"/>
        <a:ext cx="2495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421875" style="0" bestFit="1" customWidth="1"/>
    <col min="2" max="2" width="35.57421875" style="0" bestFit="1" customWidth="1"/>
    <col min="3" max="4" width="12.57421875" style="1" bestFit="1" customWidth="1"/>
    <col min="5" max="5" width="8.7109375" style="1" bestFit="1" customWidth="1"/>
    <col min="6" max="6" width="3.00390625" style="1" bestFit="1" customWidth="1"/>
    <col min="7" max="7" width="2.57421875" style="1" customWidth="1"/>
    <col min="8" max="8" width="3.00390625" style="1" bestFit="1" customWidth="1"/>
    <col min="9" max="9" width="12.421875" style="1" customWidth="1"/>
    <col min="10" max="10" width="9.8515625" style="1" customWidth="1"/>
    <col min="11" max="11" width="6.8515625" style="1" bestFit="1" customWidth="1"/>
    <col min="13" max="13" width="8.57421875" style="1" customWidth="1"/>
    <col min="14" max="14" width="7.7109375" style="1" customWidth="1"/>
    <col min="15" max="15" width="7.00390625" style="1" customWidth="1"/>
    <col min="16" max="16" width="14.28125" style="0" customWidth="1"/>
    <col min="17" max="17" width="15.8515625" style="0" customWidth="1"/>
    <col min="18" max="18" width="11.28125" style="0" customWidth="1"/>
    <col min="21" max="21" width="6.28125" style="0" bestFit="1" customWidth="1"/>
    <col min="22" max="22" width="6.8515625" style="0" bestFit="1" customWidth="1"/>
  </cols>
  <sheetData>
    <row r="1" spans="1:6" ht="18">
      <c r="A1" s="36" t="s">
        <v>38</v>
      </c>
      <c r="B1" s="50"/>
      <c r="D1" s="11"/>
      <c r="E1" s="11"/>
      <c r="F1" s="11"/>
    </row>
    <row r="2" spans="1:7" ht="12.75">
      <c r="A2" s="38" t="s">
        <v>23</v>
      </c>
      <c r="B2" s="49"/>
      <c r="C2" s="22"/>
      <c r="D2" s="82" t="s">
        <v>40</v>
      </c>
      <c r="E2" s="84"/>
      <c r="F2" s="84"/>
      <c r="G2" s="85"/>
    </row>
    <row r="3" spans="1:7" ht="12.75">
      <c r="A3" s="27" t="s">
        <v>47</v>
      </c>
      <c r="B3" s="44"/>
      <c r="C3" s="22"/>
      <c r="D3" s="83" t="s">
        <v>41</v>
      </c>
      <c r="E3" s="86"/>
      <c r="F3" s="86"/>
      <c r="G3" s="87"/>
    </row>
    <row r="5" spans="3:5" ht="12.75">
      <c r="C5" s="108" t="s">
        <v>44</v>
      </c>
      <c r="D5" s="108" t="s">
        <v>45</v>
      </c>
      <c r="E5" s="108" t="s">
        <v>46</v>
      </c>
    </row>
    <row r="6" spans="1:15" ht="12.75">
      <c r="A6" s="3" t="s">
        <v>4</v>
      </c>
      <c r="B6" s="8" t="s">
        <v>6</v>
      </c>
      <c r="C6" s="68">
        <v>44</v>
      </c>
      <c r="D6" s="88">
        <v>28</v>
      </c>
      <c r="E6" s="89">
        <v>31.88</v>
      </c>
      <c r="F6" s="69" t="s">
        <v>0</v>
      </c>
      <c r="M6" s="43"/>
      <c r="N6" s="19"/>
      <c r="O6" s="37"/>
    </row>
    <row r="7" spans="1:15" ht="12.75">
      <c r="A7" s="4"/>
      <c r="B7" s="5" t="s">
        <v>7</v>
      </c>
      <c r="C7" s="70">
        <v>93</v>
      </c>
      <c r="D7" s="90">
        <v>0</v>
      </c>
      <c r="E7" s="91">
        <v>58.758</v>
      </c>
      <c r="F7" s="71" t="s">
        <v>1</v>
      </c>
      <c r="G7" s="11"/>
      <c r="M7" s="45"/>
      <c r="N7" s="40"/>
      <c r="O7" s="41"/>
    </row>
    <row r="8" spans="1:15" ht="12.75">
      <c r="A8" s="5"/>
      <c r="B8" s="8" t="s">
        <v>14</v>
      </c>
      <c r="C8" s="92">
        <v>405</v>
      </c>
      <c r="D8" s="42" t="s">
        <v>2</v>
      </c>
      <c r="E8" s="58">
        <f>C8*0.6214</f>
        <v>251.66699999999997</v>
      </c>
      <c r="F8" s="47" t="s">
        <v>24</v>
      </c>
      <c r="G8" s="11"/>
      <c r="M8" s="47"/>
      <c r="N8" s="47"/>
      <c r="O8" s="47"/>
    </row>
    <row r="9" spans="1:15" ht="12.75">
      <c r="A9" s="5"/>
      <c r="B9" s="6" t="s">
        <v>30</v>
      </c>
      <c r="C9" s="93">
        <v>197</v>
      </c>
      <c r="D9" s="18" t="s">
        <v>3</v>
      </c>
      <c r="E9" s="48"/>
      <c r="F9" s="48"/>
      <c r="M9" s="48"/>
      <c r="N9" s="48">
        <f>C9*PI()/180</f>
        <v>3.438298626428829</v>
      </c>
      <c r="O9" s="48" t="s">
        <v>33</v>
      </c>
    </row>
    <row r="10" spans="1:15" ht="12.75">
      <c r="A10" s="5"/>
      <c r="B10" s="29" t="s">
        <v>31</v>
      </c>
      <c r="C10" s="94" t="s">
        <v>39</v>
      </c>
      <c r="D10" s="34" t="str">
        <f>IF(OR(C10="L",C10="l"),"Left","Right")</f>
        <v>Right</v>
      </c>
      <c r="E10" s="45"/>
      <c r="F10" s="41"/>
      <c r="M10" s="51"/>
      <c r="N10" s="51"/>
      <c r="O10" s="51"/>
    </row>
    <row r="11" spans="1:15" ht="12.75">
      <c r="A11" s="5"/>
      <c r="B11" s="8" t="s">
        <v>25</v>
      </c>
      <c r="C11" s="95">
        <v>0.355</v>
      </c>
      <c r="D11" s="66">
        <f>IF(C11&lt;0.28,"Increase",IF(C11&gt;0.44,"Decrease",""))</f>
      </c>
      <c r="E11" s="43"/>
      <c r="F11" s="37"/>
      <c r="M11" s="47"/>
      <c r="N11" s="47"/>
      <c r="O11" s="47"/>
    </row>
    <row r="12" spans="1:15" ht="12.75">
      <c r="A12" s="6"/>
      <c r="B12" s="6" t="str">
        <f>"Percent of Task on 2nd leg (28% - "&amp;(1-0.28-C11)*100&amp;"%)"</f>
        <v>Percent of Task on 2nd leg (28% - 36.5%)</v>
      </c>
      <c r="C12" s="96">
        <v>0.29</v>
      </c>
      <c r="D12" s="67">
        <f>IF(C12&lt;0.28,"Increase",IF(C12&gt;1-0.28-C11,"Decrease",""))</f>
      </c>
      <c r="E12" s="45"/>
      <c r="F12" s="41"/>
      <c r="M12" s="48"/>
      <c r="N12" s="48"/>
      <c r="O12" s="48"/>
    </row>
    <row r="13" spans="1:15" ht="12.75">
      <c r="A13" s="3" t="s">
        <v>5</v>
      </c>
      <c r="B13" s="29" t="s">
        <v>26</v>
      </c>
      <c r="C13" s="105">
        <f>1-C11-C12</f>
        <v>0.35500000000000004</v>
      </c>
      <c r="D13" s="51"/>
      <c r="E13" s="56"/>
      <c r="F13" s="57"/>
      <c r="M13" s="51"/>
      <c r="N13" s="51"/>
      <c r="O13" s="56"/>
    </row>
    <row r="14" spans="1:15" ht="12.75">
      <c r="A14" s="5"/>
      <c r="B14" s="8" t="s">
        <v>27</v>
      </c>
      <c r="C14" s="59">
        <f>$C$8*C11</f>
        <v>143.775</v>
      </c>
      <c r="D14" s="52" t="s">
        <v>2</v>
      </c>
      <c r="E14" s="59">
        <f>C14*0.6214</f>
        <v>89.341785</v>
      </c>
      <c r="F14" s="47" t="s">
        <v>24</v>
      </c>
      <c r="M14" s="47"/>
      <c r="N14" s="47">
        <f>C14/6371</f>
        <v>0.02256710092607126</v>
      </c>
      <c r="O14" s="47" t="s">
        <v>33</v>
      </c>
    </row>
    <row r="15" spans="1:15" ht="12.75">
      <c r="A15" s="5"/>
      <c r="B15" s="5" t="s">
        <v>28</v>
      </c>
      <c r="C15" s="59">
        <f>$C$8*C12</f>
        <v>117.44999999999999</v>
      </c>
      <c r="D15" s="53" t="s">
        <v>2</v>
      </c>
      <c r="E15" s="59">
        <f>C15*0.6214</f>
        <v>72.98342999999998</v>
      </c>
      <c r="F15" s="55" t="s">
        <v>24</v>
      </c>
      <c r="M15" s="55"/>
      <c r="N15" s="55">
        <f>C15/6371</f>
        <v>0.018435096531156804</v>
      </c>
      <c r="O15" s="55" t="s">
        <v>33</v>
      </c>
    </row>
    <row r="16" spans="1:15" ht="12.75">
      <c r="A16" s="5"/>
      <c r="B16" s="6" t="s">
        <v>29</v>
      </c>
      <c r="C16" s="60">
        <f>$C$8*C13</f>
        <v>143.775</v>
      </c>
      <c r="D16" s="54" t="s">
        <v>2</v>
      </c>
      <c r="E16" s="60">
        <f>C16*0.6214</f>
        <v>89.341785</v>
      </c>
      <c r="F16" s="48" t="s">
        <v>24</v>
      </c>
      <c r="M16" s="48"/>
      <c r="N16" s="48">
        <f>C16/6371</f>
        <v>0.02256710092607126</v>
      </c>
      <c r="O16" s="48" t="s">
        <v>33</v>
      </c>
    </row>
    <row r="17" spans="1:15" ht="12.75">
      <c r="A17" s="5"/>
      <c r="B17" t="s">
        <v>34</v>
      </c>
      <c r="C17" s="63">
        <f>N17*180/PI()</f>
        <v>48.218721598678094</v>
      </c>
      <c r="D17" s="53"/>
      <c r="E17" s="62"/>
      <c r="F17" s="39"/>
      <c r="M17" s="47"/>
      <c r="N17" s="47">
        <f>ACOS((COS(N15)-COS(N16)*COS(N14))/(SIN(N16)*SIN(N14)))</f>
        <v>0.8415754529994366</v>
      </c>
      <c r="O17" s="47" t="s">
        <v>33</v>
      </c>
    </row>
    <row r="18" spans="1:15" ht="12.75">
      <c r="A18" s="5"/>
      <c r="B18" s="5" t="s">
        <v>35</v>
      </c>
      <c r="C18" s="63">
        <f>N18*180/PI()</f>
        <v>65.89607889762017</v>
      </c>
      <c r="D18" s="53"/>
      <c r="E18" s="62"/>
      <c r="F18" s="39"/>
      <c r="G18" s="11"/>
      <c r="M18" s="55"/>
      <c r="N18" s="55">
        <f>ACOS((COS(N16)-COS(N14)*COS(N15))/(SIN(N14)*SIN(N15)))</f>
        <v>1.1501035409174274</v>
      </c>
      <c r="O18" s="55" t="s">
        <v>33</v>
      </c>
    </row>
    <row r="19" spans="1:15" ht="12.75">
      <c r="A19" s="5"/>
      <c r="B19" t="s">
        <v>36</v>
      </c>
      <c r="C19" s="64">
        <f>N19*180/PI()</f>
        <v>65.89607889762017</v>
      </c>
      <c r="D19" s="54"/>
      <c r="E19" s="61"/>
      <c r="F19" s="41"/>
      <c r="M19" s="48"/>
      <c r="N19" s="48">
        <f>ACOS((COS(N14)-COS(N15)*COS(N16))/(SIN(N15)*SIN(N16)))</f>
        <v>1.1501035409174274</v>
      </c>
      <c r="O19" s="48" t="s">
        <v>33</v>
      </c>
    </row>
    <row r="20" spans="1:15" ht="12.75">
      <c r="A20" s="5"/>
      <c r="B20" s="29" t="s">
        <v>37</v>
      </c>
      <c r="C20" s="65">
        <f>C17+C18+C19</f>
        <v>180.01087939391846</v>
      </c>
      <c r="D20" s="54"/>
      <c r="E20" s="61"/>
      <c r="F20" s="41"/>
      <c r="M20" s="48"/>
      <c r="N20" s="48"/>
      <c r="O20" s="48"/>
    </row>
    <row r="21" spans="1:15" ht="12.75">
      <c r="A21" s="5"/>
      <c r="B21" s="8" t="s">
        <v>32</v>
      </c>
      <c r="C21" s="97">
        <f>N21*180/PI()</f>
        <v>245.21872159867806</v>
      </c>
      <c r="D21" s="53" t="s">
        <v>3</v>
      </c>
      <c r="E21" s="62"/>
      <c r="F21" s="39"/>
      <c r="M21" s="48"/>
      <c r="N21" s="51">
        <f>IF(D10="Left",MOD(N9-N17,2*PI()),MOD(N9+N17,2*PI()))</f>
        <v>4.279874079428265</v>
      </c>
      <c r="O21" s="51" t="s">
        <v>33</v>
      </c>
    </row>
    <row r="22" spans="1:15" ht="12.75">
      <c r="A22" s="4"/>
      <c r="B22" s="8" t="s">
        <v>30</v>
      </c>
      <c r="C22" s="97">
        <f>N22*180/PI()</f>
        <v>196.81862918265773</v>
      </c>
      <c r="D22" s="98" t="s">
        <v>3</v>
      </c>
      <c r="E22" s="102">
        <f>IF(C22-180&lt;0,C22+180,C22-180)</f>
        <v>16.81862918265773</v>
      </c>
      <c r="F22" s="37"/>
      <c r="M22" s="51"/>
      <c r="N22">
        <f>IF(N25&lt;N26,ACOS((M26-M25)*6371/C14),2*PI()-ACOS((M26-M25)*6371/C14))</f>
        <v>3.435133108499173</v>
      </c>
      <c r="O22" s="51" t="s">
        <v>33</v>
      </c>
    </row>
    <row r="23" spans="1:15" ht="12.75">
      <c r="A23" s="4"/>
      <c r="B23" s="5" t="s">
        <v>42</v>
      </c>
      <c r="C23" s="100">
        <f>N23*180/PI()</f>
        <v>310.3633182576576</v>
      </c>
      <c r="D23" s="99" t="s">
        <v>3</v>
      </c>
      <c r="E23" s="103">
        <f>IF(C23-180&lt;0,C23+180,C23-180)</f>
        <v>130.36331825765762</v>
      </c>
      <c r="F23" s="39"/>
      <c r="M23" s="47"/>
      <c r="N23" s="29">
        <f>IF(N26&lt;N27,ACOS((M27-M26)*6371/C15),2*PI()-ACOS((M27-M26)*6371/C15))</f>
        <v>5.416861781011156</v>
      </c>
      <c r="O23" s="51" t="s">
        <v>33</v>
      </c>
    </row>
    <row r="24" spans="1:15" ht="12.75">
      <c r="A24" s="4"/>
      <c r="B24" s="6" t="s">
        <v>43</v>
      </c>
      <c r="C24" s="46">
        <f>N24*180/PI()</f>
        <v>64.64827940712195</v>
      </c>
      <c r="D24" s="18" t="s">
        <v>3</v>
      </c>
      <c r="E24" s="104">
        <f>IF(C24-180&lt;0,C24+180,C24-180)</f>
        <v>244.64827940712195</v>
      </c>
      <c r="F24" s="41"/>
      <c r="M24" s="47"/>
      <c r="N24">
        <f>IF(N27&lt;N28,ACOS((M28-M27)*6371/C16),2*PI()-ACOS((M28-M27)*6371/C16))</f>
        <v>1.1283253314035258</v>
      </c>
      <c r="O24" s="51" t="s">
        <v>33</v>
      </c>
    </row>
    <row r="25" spans="1:15" ht="12.75">
      <c r="A25" s="5"/>
      <c r="B25" s="50" t="s">
        <v>8</v>
      </c>
      <c r="C25" s="20">
        <f>IF(F6&lt;&gt;"S",C6+D6/60+E6/3600,-C6-D6/60-E6/3600)</f>
        <v>44.475522222222224</v>
      </c>
      <c r="D25" s="20">
        <f>IF(F7&lt;&gt;"E",-C7-D7/60-E7/3600,C7+D7/60+E7/3600)</f>
        <v>-93.01632166666667</v>
      </c>
      <c r="E25" s="22"/>
      <c r="F25" s="39"/>
      <c r="M25" s="47">
        <f>C25*PI()/180</f>
        <v>0.7762442993216829</v>
      </c>
      <c r="N25" s="47">
        <f>D25*PI()/180</f>
        <v>-1.623441071177473</v>
      </c>
      <c r="O25" s="51" t="s">
        <v>33</v>
      </c>
    </row>
    <row r="26" spans="1:15" ht="12.75">
      <c r="A26" s="5"/>
      <c r="B26" s="49" t="s">
        <v>18</v>
      </c>
      <c r="C26" s="35">
        <f>M26*180/PI()</f>
        <v>43.23783003390666</v>
      </c>
      <c r="D26" s="35">
        <f>N26*180/PI()</f>
        <v>-93.53519748344931</v>
      </c>
      <c r="E26" s="22"/>
      <c r="F26" s="39"/>
      <c r="I26" s="101"/>
      <c r="M26" s="55">
        <f>ASIN(SIN(M25)*COS(N14)+COS(M25)*SIN(N14)*COS(N9))</f>
        <v>0.7546424955093627</v>
      </c>
      <c r="N26" s="55">
        <f>IF(COS(M26)=0,N25,-1*(MOD((-N25)-ASIN(SIN(N9)*SIN(N14)/COS(M26))+PI(),2*PI())-PI()))</f>
        <v>-1.6324971625893046</v>
      </c>
      <c r="O26" s="55" t="s">
        <v>33</v>
      </c>
    </row>
    <row r="27" spans="1:18" s="21" customFormat="1" ht="12.75">
      <c r="A27" s="5"/>
      <c r="B27" s="49" t="s">
        <v>19</v>
      </c>
      <c r="C27" s="35">
        <f>M27*180/PI()</f>
        <v>43.921893653913585</v>
      </c>
      <c r="D27" s="35">
        <f>N27*180/PI()</f>
        <v>-94.64621817503628</v>
      </c>
      <c r="E27" s="22"/>
      <c r="F27" s="39"/>
      <c r="G27" s="11"/>
      <c r="H27" s="11"/>
      <c r="M27" s="55">
        <f>ASIN(SIN(M25)*COS(N16)+COS(M25)*SIN(N16)*COS(N21))</f>
        <v>0.7665816579715948</v>
      </c>
      <c r="N27" s="55">
        <f>IF(COS(M27)=0,N25,-1*(MOD((-N25)-ASIN(SIN(N21)*SIN(N16)/COS(M27))+PI(),2*PI())-PI()))</f>
        <v>-1.6518881317152818</v>
      </c>
      <c r="O27" s="55" t="s">
        <v>33</v>
      </c>
      <c r="R27"/>
    </row>
    <row r="28" spans="1:15" ht="12.75">
      <c r="A28" s="5"/>
      <c r="B28" s="6" t="s">
        <v>20</v>
      </c>
      <c r="C28" s="6">
        <f>C25</f>
        <v>44.475522222222224</v>
      </c>
      <c r="D28" s="6">
        <f>D25</f>
        <v>-93.01632166666667</v>
      </c>
      <c r="E28" s="27"/>
      <c r="F28" s="44"/>
      <c r="I28" s="108" t="s">
        <v>44</v>
      </c>
      <c r="J28" s="108" t="s">
        <v>45</v>
      </c>
      <c r="M28" s="48">
        <f>C28*PI()/180</f>
        <v>0.7762442993216829</v>
      </c>
      <c r="N28" s="48">
        <f>D28*PI()/180</f>
        <v>-1.623441071177473</v>
      </c>
      <c r="O28" s="48" t="s">
        <v>33</v>
      </c>
    </row>
    <row r="29" spans="1:11" ht="12.75">
      <c r="A29" s="5"/>
      <c r="B29" s="2" t="s">
        <v>15</v>
      </c>
      <c r="C29" s="72">
        <f>IF(C26&gt;=0,FLOOR(C26,1),-FLOOR(-C26,1))</f>
        <v>43</v>
      </c>
      <c r="D29" s="78">
        <f>IF(C26&gt;=0,FLOOR((C26-C29)*60,1),FLOOR((-C26+C29)*60,1))</f>
        <v>14</v>
      </c>
      <c r="E29" s="79">
        <f>IF(C26&gt;=0,FLOOR((C26-C29-D29/60)*3600,0.001),FLOOR((-C26+C29-D29/60)*3600,0.001))</f>
        <v>16.188</v>
      </c>
      <c r="F29" s="74" t="str">
        <f>IF(C26&lt;0,"S","N")</f>
        <v>N</v>
      </c>
      <c r="I29" s="72">
        <f>C29</f>
        <v>43</v>
      </c>
      <c r="J29" s="73">
        <f>D29+E29/60</f>
        <v>14.2698</v>
      </c>
      <c r="K29" s="74" t="str">
        <f>F29</f>
        <v>N</v>
      </c>
    </row>
    <row r="30" spans="1:11" ht="12.75">
      <c r="A30" s="5"/>
      <c r="B30" s="7" t="s">
        <v>16</v>
      </c>
      <c r="C30" s="75">
        <f>IF(D26&gt;=0,FLOOR(D26,1),FLOOR(-D26,1))</f>
        <v>93</v>
      </c>
      <c r="D30" s="80">
        <f>IF(D26&gt;=0,FLOOR((D26-C30)*60,1),FLOOR((-D26-C30)*60,1))</f>
        <v>32</v>
      </c>
      <c r="E30" s="81">
        <f>IF(D26&gt;=0,FLOOR((D26-C30-D30/60)*3600,0.001),FLOOR((-D26-C30-D30/60)*3600,0.001))</f>
        <v>6.71</v>
      </c>
      <c r="F30" s="77" t="str">
        <f>IF(D26&lt;0,"W","E")</f>
        <v>W</v>
      </c>
      <c r="I30" s="75">
        <f>C30</f>
        <v>93</v>
      </c>
      <c r="J30" s="76">
        <f>D30+E30/60</f>
        <v>32.11183333333334</v>
      </c>
      <c r="K30" s="77" t="str">
        <f>F30</f>
        <v>W</v>
      </c>
    </row>
    <row r="31" spans="1:11" ht="12.75">
      <c r="A31" s="5"/>
      <c r="B31" s="2" t="s">
        <v>21</v>
      </c>
      <c r="C31" s="72">
        <f>IF(C27&gt;=0,FLOOR(C27,1),-FLOOR(-C27,1))</f>
        <v>43</v>
      </c>
      <c r="D31" s="78">
        <f>IF(C27&gt;=0,FLOOR((C27-C31)*60,1),FLOOR((-C27+C31)*60,1))</f>
        <v>55</v>
      </c>
      <c r="E31" s="79">
        <f>IF(C27&gt;=0,FLOOR((C27-C31-D31/60)*3600,0.001),FLOOR((-C27+C31-D31/60)*3600,0.001))</f>
        <v>18.817</v>
      </c>
      <c r="F31" s="74" t="str">
        <f>IF(C27&lt;0,"S","N")</f>
        <v>N</v>
      </c>
      <c r="I31" s="72">
        <f>C31</f>
        <v>43</v>
      </c>
      <c r="J31" s="73">
        <f>D31+E31/60</f>
        <v>55.31361666666667</v>
      </c>
      <c r="K31" s="74" t="str">
        <f>F31</f>
        <v>N</v>
      </c>
    </row>
    <row r="32" spans="1:11" ht="12.75">
      <c r="A32" s="6"/>
      <c r="B32" s="7" t="s">
        <v>22</v>
      </c>
      <c r="C32" s="75">
        <f>IF(D27&gt;=0,FLOOR(D27,1),FLOOR(-D27,1))</f>
        <v>94</v>
      </c>
      <c r="D32" s="80">
        <f>IF(D27&gt;=0,FLOOR((D27-C32)*60,1),FLOOR((-D27-C32)*60,1))</f>
        <v>38</v>
      </c>
      <c r="E32" s="81">
        <f>IF(D27&gt;=0,FLOOR((D27-C32-D32/60)*3600,0.001),FLOOR((-D27-C32-D32/60)*3600,0.001))</f>
        <v>46.385</v>
      </c>
      <c r="F32" s="77" t="str">
        <f>IF(D27&lt;0,"W","E")</f>
        <v>W</v>
      </c>
      <c r="I32" s="75">
        <f>C32</f>
        <v>94</v>
      </c>
      <c r="J32" s="76">
        <f>D32+E32/60</f>
        <v>38.77308333333333</v>
      </c>
      <c r="K32" s="77" t="str">
        <f>F32</f>
        <v>W</v>
      </c>
    </row>
    <row r="34" spans="2:6" ht="12.75">
      <c r="B34" s="32" t="s">
        <v>17</v>
      </c>
      <c r="C34" s="30"/>
      <c r="D34" s="31"/>
      <c r="E34" s="33"/>
      <c r="F34" s="25"/>
    </row>
    <row r="35" spans="2:6" ht="12.75">
      <c r="B35" s="8" t="s">
        <v>13</v>
      </c>
      <c r="C35" s="12">
        <v>44</v>
      </c>
      <c r="D35" s="14">
        <v>28</v>
      </c>
      <c r="E35" s="16">
        <v>31.88</v>
      </c>
      <c r="F35" s="26" t="s">
        <v>0</v>
      </c>
    </row>
    <row r="36" spans="2:6" ht="12.75">
      <c r="B36" s="27"/>
      <c r="C36" s="13">
        <v>93</v>
      </c>
      <c r="D36" s="15">
        <v>0</v>
      </c>
      <c r="E36" s="17">
        <v>58.758</v>
      </c>
      <c r="F36" s="28" t="s">
        <v>1</v>
      </c>
    </row>
    <row r="37" spans="2:6" ht="12.75">
      <c r="B37" s="8" t="s">
        <v>12</v>
      </c>
      <c r="C37" s="12">
        <v>44</v>
      </c>
      <c r="D37" s="14">
        <v>19</v>
      </c>
      <c r="E37" s="16">
        <v>28.868</v>
      </c>
      <c r="F37" s="26" t="s">
        <v>0</v>
      </c>
    </row>
    <row r="38" spans="2:6" ht="12.75">
      <c r="B38" s="27"/>
      <c r="C38" s="13">
        <v>93</v>
      </c>
      <c r="D38" s="15">
        <v>18</v>
      </c>
      <c r="E38" s="17">
        <v>38.984</v>
      </c>
      <c r="F38" s="28" t="s">
        <v>1</v>
      </c>
    </row>
    <row r="42" spans="1:2" ht="12.75">
      <c r="A42" s="106" t="s">
        <v>9</v>
      </c>
      <c r="B42" s="107"/>
    </row>
    <row r="43" spans="1:2" ht="12.75">
      <c r="A43" s="23" t="s">
        <v>10</v>
      </c>
      <c r="B43" s="23" t="s">
        <v>11</v>
      </c>
    </row>
    <row r="44" spans="1:2" ht="12.75">
      <c r="A44" s="24">
        <v>43.5</v>
      </c>
      <c r="B44" s="24">
        <v>-96.45</v>
      </c>
    </row>
    <row r="45" spans="1:2" ht="12.75">
      <c r="A45" s="9">
        <v>45.3</v>
      </c>
      <c r="B45" s="9">
        <v>-96.45</v>
      </c>
    </row>
    <row r="46" spans="1:2" ht="12.75">
      <c r="A46" s="9">
        <v>45.61666666666667</v>
      </c>
      <c r="B46" s="9">
        <v>-96.85</v>
      </c>
    </row>
    <row r="47" spans="1:2" ht="12.75">
      <c r="A47" s="9">
        <v>45.8</v>
      </c>
      <c r="B47" s="9">
        <v>-96.6</v>
      </c>
    </row>
    <row r="48" spans="1:2" ht="12.75">
      <c r="A48" s="9">
        <v>49</v>
      </c>
      <c r="B48" s="9">
        <v>-97.25</v>
      </c>
    </row>
    <row r="49" spans="1:2" ht="12.75">
      <c r="A49" s="9">
        <v>49</v>
      </c>
      <c r="B49" s="9">
        <v>-95.1666666666667</v>
      </c>
    </row>
    <row r="50" spans="1:2" ht="12.75">
      <c r="A50" s="9">
        <v>49.38333333333333</v>
      </c>
      <c r="B50" s="9">
        <v>-95.1666666666667</v>
      </c>
    </row>
    <row r="51" spans="1:2" ht="12.75">
      <c r="A51" s="9">
        <v>49.333333333333336</v>
      </c>
      <c r="B51" s="9">
        <v>-94.8333333333333</v>
      </c>
    </row>
    <row r="52" spans="1:2" ht="12.75">
      <c r="A52" s="9">
        <v>48.733333333333334</v>
      </c>
      <c r="B52" s="9">
        <v>-94.6166666666667</v>
      </c>
    </row>
    <row r="53" spans="1:2" ht="12.75">
      <c r="A53" s="9">
        <v>48</v>
      </c>
      <c r="B53" s="9">
        <v>-89.5</v>
      </c>
    </row>
    <row r="54" spans="1:2" ht="12.75">
      <c r="A54" s="9">
        <v>46.666666666666664</v>
      </c>
      <c r="B54" s="9">
        <v>-92.2833333333333</v>
      </c>
    </row>
    <row r="55" spans="1:2" ht="12.75">
      <c r="A55" s="9">
        <v>46.05</v>
      </c>
      <c r="B55" s="9">
        <v>-92.2833333333333</v>
      </c>
    </row>
    <row r="56" spans="1:2" ht="12.75">
      <c r="A56" s="9">
        <v>45.71666666666667</v>
      </c>
      <c r="B56" s="9">
        <v>-92.8666666666667</v>
      </c>
    </row>
    <row r="57" spans="1:2" ht="12.75">
      <c r="A57" s="9">
        <v>45.46666666666667</v>
      </c>
      <c r="B57" s="9">
        <v>-92.6666666666667</v>
      </c>
    </row>
    <row r="58" spans="1:2" ht="12.75">
      <c r="A58" s="9">
        <v>44.75</v>
      </c>
      <c r="B58" s="9">
        <v>-92.7833333333333</v>
      </c>
    </row>
    <row r="59" spans="1:2" ht="12.75">
      <c r="A59" s="9">
        <v>43.916666666666664</v>
      </c>
      <c r="B59" s="9">
        <v>-91.2</v>
      </c>
    </row>
    <row r="60" spans="1:2" ht="12.75">
      <c r="A60" s="9">
        <v>43.516666666666666</v>
      </c>
      <c r="B60" s="9">
        <v>-91.1666666666667</v>
      </c>
    </row>
    <row r="61" spans="1:2" ht="12.75">
      <c r="A61" s="10">
        <v>43.5</v>
      </c>
      <c r="B61" s="10">
        <v>-96.45</v>
      </c>
    </row>
  </sheetData>
  <mergeCells count="1">
    <mergeCell ref="A42:B42"/>
  </mergeCells>
  <printOptions/>
  <pageMargins left="0.7" right="0.7" top="0.5" bottom="0.75" header="0.5" footer="0.5"/>
  <pageSetup fitToHeight="1" fitToWidth="1" horizontalDpi="600" verticalDpi="600" orientation="landscape" r:id="rId2"/>
  <headerFooter alignWithMargins="0">
    <oddFooter>&amp;L&amp;D   &amp;T&amp;C&amp;F&amp;R&amp;P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Motion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E. Remde</dc:creator>
  <cp:keywords/>
  <dc:description/>
  <cp:lastModifiedBy>Paul Remde</cp:lastModifiedBy>
  <cp:lastPrinted>1998-12-04T15:03:06Z</cp:lastPrinted>
  <dcterms:created xsi:type="dcterms:W3CDTF">1998-03-25T00:57:57Z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